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anticorruzioneit-my.sharepoint.com/personal/a_deleverano_anticorruzione_it/Documents/UQUA_Adriano_Marco_Cristina/70. Aggiornamento Simulatore NUovo/"/>
    </mc:Choice>
  </mc:AlternateContent>
  <xr:revisionPtr revIDLastSave="50" documentId="13_ncr:1_{DF1805FA-0C6D-4A0D-890F-98E2CED4B196}" xr6:coauthVersionLast="47" xr6:coauthVersionMax="47" xr10:uidLastSave="{FB194772-00A7-4EFD-944B-A0F6E42129B1}"/>
  <bookViews>
    <workbookView xWindow="-108" yWindow="-108" windowWidth="23256" windowHeight="12576" tabRatio="928" activeTab="5" xr2:uid="{00000000-000D-0000-FFFF-FFFF00000000}"/>
  </bookViews>
  <sheets>
    <sheet name="Gare" sheetId="20" r:id="rId1"/>
    <sheet name="Competenze" sheetId="8" r:id="rId2"/>
    <sheet name="Formazione" sheetId="11" r:id="rId3"/>
    <sheet name="Obblighi comunicazione ANAC" sheetId="13" r:id="rId4"/>
    <sheet name="Gare Delegate" sheetId="25" r:id="rId5"/>
    <sheet name="Nuovi Criteri Premiali" sheetId="26" r:id="rId6"/>
    <sheet name="Punteggio Complessivo" sheetId="21" r:id="rId7"/>
    <sheet name="INDICI-PUNTEGGI" sheetId="3" r:id="rId8"/>
    <sheet name="Esperienza gare" sheetId="12" state="hidden" r:id="rId9"/>
    <sheet name="PESAGARE" sheetId="19" state="hidden" r:id="rId10"/>
    <sheet name="INDICIb" sheetId="17" state="hidden" r:id="rId11"/>
    <sheet name="CALCOLO_SF" sheetId="23" state="hidden" r:id="rId12"/>
    <sheet name="coefficienti_SF" sheetId="22" state="hidden" r:id="rId13"/>
    <sheet name="Riassunto Punteggio" sheetId="2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6" l="1"/>
  <c r="D7" i="20" l="1"/>
  <c r="G3" i="20"/>
  <c r="B2" i="21" s="1"/>
  <c r="D3" i="11"/>
  <c r="G19" i="26" l="1"/>
  <c r="I20" i="26" l="1"/>
  <c r="AB40" i="23" s="1"/>
  <c r="AB39" i="23"/>
  <c r="AB38" i="23"/>
  <c r="AB36" i="23"/>
  <c r="AC39" i="23" l="1"/>
  <c r="C31" i="17" s="1"/>
  <c r="C31" i="3" s="1"/>
  <c r="AC38" i="23"/>
  <c r="C30" i="17" s="1"/>
  <c r="C30" i="3" s="1"/>
  <c r="AC36" i="23"/>
  <c r="C28" i="17" s="1"/>
  <c r="C28" i="3" s="1"/>
  <c r="D4" i="25" s="1"/>
  <c r="B31" i="3"/>
  <c r="B31" i="17" s="1"/>
  <c r="B30" i="3"/>
  <c r="B30" i="17" s="1"/>
  <c r="B28" i="3"/>
  <c r="H19" i="26"/>
  <c r="H18" i="26"/>
  <c r="H17" i="26"/>
  <c r="AC40" i="23"/>
  <c r="C32" i="17" s="1"/>
  <c r="C32" i="3" s="1"/>
  <c r="H20" i="26" l="1"/>
  <c r="AB41" i="23" s="1"/>
  <c r="AC41" i="23" s="1"/>
  <c r="C33" i="17" s="1"/>
  <c r="C33" i="3" s="1"/>
  <c r="D30" i="3" s="1"/>
  <c r="D28" i="3"/>
  <c r="B6" i="21"/>
  <c r="B32" i="3"/>
  <c r="B32" i="17" s="1"/>
  <c r="B44" i="23"/>
  <c r="D3" i="26" l="1"/>
  <c r="B7" i="21" s="1"/>
  <c r="B33" i="3"/>
  <c r="B33" i="17" s="1"/>
  <c r="B14" i="3"/>
  <c r="B13" i="3"/>
  <c r="B12" i="3"/>
  <c r="B11" i="3"/>
  <c r="B10" i="3"/>
  <c r="B9" i="3"/>
  <c r="B8" i="3"/>
  <c r="B7" i="3"/>
  <c r="B3" i="3"/>
  <c r="F30" i="19"/>
  <c r="F29" i="19"/>
  <c r="F28" i="19"/>
  <c r="F27" i="19"/>
  <c r="F26" i="19"/>
  <c r="F23" i="19"/>
  <c r="F24" i="19"/>
  <c r="F25" i="19"/>
  <c r="B22" i="3"/>
  <c r="B23" i="3"/>
  <c r="B31" i="23" s="1"/>
  <c r="D22" i="23" l="1"/>
  <c r="D21" i="23"/>
  <c r="D20" i="23"/>
  <c r="D17" i="23"/>
  <c r="D16" i="23"/>
  <c r="D15" i="23"/>
  <c r="D14" i="23"/>
  <c r="D13" i="23"/>
  <c r="D12" i="23"/>
  <c r="D11" i="23"/>
  <c r="D10" i="23"/>
  <c r="D9" i="23"/>
  <c r="D8" i="23"/>
  <c r="D7" i="23"/>
  <c r="D6" i="23"/>
  <c r="D5" i="23"/>
  <c r="D4" i="23"/>
  <c r="D3" i="23"/>
  <c r="D19" i="20" l="1"/>
  <c r="G29" i="19"/>
  <c r="C3" i="13"/>
  <c r="C6" i="13"/>
  <c r="C4" i="13"/>
  <c r="I29" i="19" l="1"/>
  <c r="H29" i="19"/>
  <c r="B25" i="3"/>
  <c r="B4" i="3"/>
  <c r="C5" i="13" l="1"/>
  <c r="B26" i="3" s="1"/>
  <c r="H18" i="12"/>
  <c r="B23" i="17" l="1"/>
  <c r="H3" i="12"/>
  <c r="H2" i="12"/>
  <c r="D10" i="12"/>
  <c r="E10" i="12"/>
  <c r="F10" i="12"/>
  <c r="D11" i="12"/>
  <c r="E11" i="12"/>
  <c r="F11" i="12"/>
  <c r="D12" i="12"/>
  <c r="E12" i="12"/>
  <c r="F12" i="12"/>
  <c r="D13" i="12"/>
  <c r="E13" i="12"/>
  <c r="F13" i="12"/>
  <c r="D14" i="12"/>
  <c r="E14" i="12"/>
  <c r="F14" i="12"/>
  <c r="D15" i="12"/>
  <c r="E15" i="12"/>
  <c r="F15" i="12"/>
  <c r="D16" i="12"/>
  <c r="E16" i="12"/>
  <c r="F16" i="12"/>
  <c r="E9" i="12"/>
  <c r="F9" i="12"/>
  <c r="D9" i="12"/>
  <c r="B6" i="3"/>
  <c r="Q31" i="23" l="1"/>
  <c r="U31" i="23"/>
  <c r="T31" i="23"/>
  <c r="R31" i="23"/>
  <c r="O31" i="23"/>
  <c r="S31" i="23"/>
  <c r="V31" i="23"/>
  <c r="P31" i="23"/>
  <c r="B22" i="17"/>
  <c r="B30" i="23" s="1"/>
  <c r="C24" i="19"/>
  <c r="D24" i="19"/>
  <c r="E24" i="19"/>
  <c r="C25" i="19"/>
  <c r="D25" i="19"/>
  <c r="E25" i="19"/>
  <c r="C26" i="19"/>
  <c r="D26" i="19"/>
  <c r="E26" i="19"/>
  <c r="C27" i="19"/>
  <c r="D27" i="19"/>
  <c r="E27" i="19"/>
  <c r="C28" i="19"/>
  <c r="D28" i="19"/>
  <c r="E28" i="19"/>
  <c r="C29" i="19"/>
  <c r="D29" i="19"/>
  <c r="E29" i="19"/>
  <c r="C30" i="19"/>
  <c r="J30" i="19" s="1"/>
  <c r="D30" i="19"/>
  <c r="E30" i="19"/>
  <c r="D23" i="19"/>
  <c r="E23" i="19"/>
  <c r="C23" i="19"/>
  <c r="G30" i="19"/>
  <c r="G28" i="19"/>
  <c r="G27" i="19"/>
  <c r="G26" i="19"/>
  <c r="G25" i="19"/>
  <c r="G24" i="19"/>
  <c r="G23" i="19"/>
  <c r="I24" i="19" l="1"/>
  <c r="H24" i="19"/>
  <c r="K24" i="19" s="1"/>
  <c r="I25" i="19"/>
  <c r="H25" i="19"/>
  <c r="I26" i="19"/>
  <c r="L26" i="19" s="1"/>
  <c r="H26" i="19"/>
  <c r="K26" i="19" s="1"/>
  <c r="I28" i="19"/>
  <c r="H28" i="19"/>
  <c r="I30" i="19"/>
  <c r="H30" i="19"/>
  <c r="K30" i="19" s="1"/>
  <c r="H27" i="19"/>
  <c r="I27" i="19"/>
  <c r="I23" i="19"/>
  <c r="H23" i="19"/>
  <c r="K23" i="19" s="1"/>
  <c r="J26" i="19"/>
  <c r="L24" i="19"/>
  <c r="J28" i="19"/>
  <c r="J24" i="19"/>
  <c r="X31" i="23"/>
  <c r="Y31" i="23" s="1"/>
  <c r="Z31" i="23" s="1"/>
  <c r="L28" i="19"/>
  <c r="J25" i="19"/>
  <c r="L30" i="19"/>
  <c r="J27" i="19"/>
  <c r="K28" i="19"/>
  <c r="J29" i="19"/>
  <c r="J23" i="19"/>
  <c r="K25" i="19"/>
  <c r="K27" i="19"/>
  <c r="K29" i="19"/>
  <c r="L23" i="19"/>
  <c r="L25" i="19"/>
  <c r="L27" i="19"/>
  <c r="L29" i="19"/>
  <c r="AB31" i="23" l="1"/>
  <c r="AC31" i="23" s="1"/>
  <c r="C23" i="17" s="1"/>
  <c r="O30" i="23"/>
  <c r="S30" i="23"/>
  <c r="P30" i="23"/>
  <c r="T30" i="23"/>
  <c r="Q30" i="23"/>
  <c r="R30" i="23"/>
  <c r="V30" i="23"/>
  <c r="U30" i="23"/>
  <c r="E31" i="19"/>
  <c r="B21" i="3" s="1"/>
  <c r="B15" i="3" s="1"/>
  <c r="B26" i="17"/>
  <c r="B34" i="23" s="1"/>
  <c r="B25" i="17"/>
  <c r="B33" i="23" s="1"/>
  <c r="B19" i="3"/>
  <c r="B19" i="17" s="1"/>
  <c r="B22" i="23" s="1"/>
  <c r="B18" i="3"/>
  <c r="B18" i="17" s="1"/>
  <c r="B21" i="23" s="1"/>
  <c r="B17" i="3"/>
  <c r="B17" i="17" s="1"/>
  <c r="B20" i="23" s="1"/>
  <c r="B13" i="17"/>
  <c r="B13" i="23" s="1"/>
  <c r="B12" i="17"/>
  <c r="B12" i="23" s="1"/>
  <c r="B9" i="17"/>
  <c r="B9" i="23" s="1"/>
  <c r="B7" i="17"/>
  <c r="B7" i="23" s="1"/>
  <c r="B8" i="17"/>
  <c r="B8" i="23" s="1"/>
  <c r="B5" i="3"/>
  <c r="B5" i="17" s="1"/>
  <c r="B5" i="23" s="1"/>
  <c r="B4" i="17"/>
  <c r="B4" i="23" s="1"/>
  <c r="V4" i="23" l="1"/>
  <c r="O4" i="23"/>
  <c r="Q4" i="23"/>
  <c r="P4" i="23"/>
  <c r="U4" i="23"/>
  <c r="T4" i="23"/>
  <c r="S4" i="23"/>
  <c r="R4" i="23"/>
  <c r="R20" i="23"/>
  <c r="V20" i="23"/>
  <c r="P20" i="23"/>
  <c r="S20" i="23"/>
  <c r="U20" i="23"/>
  <c r="Q20" i="23"/>
  <c r="T20" i="23"/>
  <c r="O20" i="23"/>
  <c r="X20" i="23" s="1"/>
  <c r="Y20" i="23" s="1"/>
  <c r="Z20" i="23" s="1"/>
  <c r="AB20" i="23" s="1"/>
  <c r="AC20" i="23" s="1"/>
  <c r="C17" i="17" s="1"/>
  <c r="R21" i="23"/>
  <c r="O21" i="23"/>
  <c r="S21" i="23"/>
  <c r="V21" i="23"/>
  <c r="U21" i="23"/>
  <c r="T21" i="23"/>
  <c r="P21" i="23"/>
  <c r="Q21" i="23"/>
  <c r="T5" i="23"/>
  <c r="V5" i="23"/>
  <c r="P5" i="23"/>
  <c r="O5" i="23"/>
  <c r="S5" i="23"/>
  <c r="U5" i="23"/>
  <c r="Q5" i="23"/>
  <c r="R5" i="23"/>
  <c r="V22" i="23"/>
  <c r="R22" i="23"/>
  <c r="U22" i="23"/>
  <c r="P22" i="23"/>
  <c r="T22" i="23"/>
  <c r="S22" i="23"/>
  <c r="O22" i="23"/>
  <c r="Q22" i="23"/>
  <c r="X22" i="23" s="1"/>
  <c r="Y22" i="23" s="1"/>
  <c r="Z22" i="23" s="1"/>
  <c r="AB22" i="23" s="1"/>
  <c r="AC22" i="23" s="1"/>
  <c r="C19" i="17" s="1"/>
  <c r="S34" i="23"/>
  <c r="O34" i="23"/>
  <c r="Q34" i="23"/>
  <c r="P34" i="23"/>
  <c r="V34" i="23"/>
  <c r="R34" i="23"/>
  <c r="U34" i="23"/>
  <c r="T34" i="23"/>
  <c r="S33" i="23"/>
  <c r="O33" i="23"/>
  <c r="Q33" i="23"/>
  <c r="P33" i="23"/>
  <c r="V33" i="23"/>
  <c r="R33" i="23"/>
  <c r="U33" i="23"/>
  <c r="T33" i="23"/>
  <c r="T13" i="23"/>
  <c r="R13" i="23"/>
  <c r="Q13" i="23"/>
  <c r="V13" i="23"/>
  <c r="U13" i="23"/>
  <c r="P13" i="23"/>
  <c r="O13" i="23"/>
  <c r="S13" i="23"/>
  <c r="U12" i="23"/>
  <c r="V12" i="23"/>
  <c r="R12" i="23"/>
  <c r="O12" i="23"/>
  <c r="Q12" i="23"/>
  <c r="P12" i="23"/>
  <c r="S12" i="23"/>
  <c r="T12" i="23"/>
  <c r="V9" i="23"/>
  <c r="S9" i="23"/>
  <c r="O9" i="23"/>
  <c r="T9" i="23"/>
  <c r="P9" i="23"/>
  <c r="R9" i="23"/>
  <c r="Q9" i="23"/>
  <c r="U9" i="23"/>
  <c r="X9" i="23" s="1"/>
  <c r="Y9" i="23" s="1"/>
  <c r="Z9" i="23" s="1"/>
  <c r="AB9" i="23" s="1"/>
  <c r="AC9" i="23" s="1"/>
  <c r="C9" i="17" s="1"/>
  <c r="C9" i="3" s="1"/>
  <c r="Q8" i="23"/>
  <c r="U8" i="23"/>
  <c r="T8" i="23"/>
  <c r="O8" i="23"/>
  <c r="P8" i="23"/>
  <c r="V8" i="23"/>
  <c r="R8" i="23"/>
  <c r="S8" i="23"/>
  <c r="U7" i="23"/>
  <c r="Q7" i="23"/>
  <c r="S7" i="23"/>
  <c r="V7" i="23"/>
  <c r="T7" i="23"/>
  <c r="P7" i="23"/>
  <c r="O7" i="23"/>
  <c r="R7" i="23"/>
  <c r="X30" i="23"/>
  <c r="Y30" i="23" s="1"/>
  <c r="Z30" i="23" s="1"/>
  <c r="B3" i="17"/>
  <c r="B3" i="23" s="1"/>
  <c r="B28" i="17"/>
  <c r="B36" i="23" s="1"/>
  <c r="B15" i="17"/>
  <c r="B21" i="17"/>
  <c r="B10" i="17"/>
  <c r="B10" i="23" s="1"/>
  <c r="B11" i="17"/>
  <c r="B11" i="23" s="1"/>
  <c r="B6" i="17"/>
  <c r="B6" i="23" s="1"/>
  <c r="B14" i="17"/>
  <c r="B14" i="23" s="1"/>
  <c r="X5" i="23" l="1"/>
  <c r="Y5" i="23" s="1"/>
  <c r="Z5" i="23" s="1"/>
  <c r="AB5" i="23" s="1"/>
  <c r="AC5" i="23" s="1"/>
  <c r="C5" i="17" s="1"/>
  <c r="Q6" i="23"/>
  <c r="P6" i="23"/>
  <c r="U6" i="23"/>
  <c r="T6" i="23"/>
  <c r="S6" i="23"/>
  <c r="O6" i="23"/>
  <c r="V6" i="23"/>
  <c r="R6" i="23"/>
  <c r="X21" i="23"/>
  <c r="Y21" i="23" s="1"/>
  <c r="Z21" i="23" s="1"/>
  <c r="AB21" i="23" s="1"/>
  <c r="AC21" i="23" s="1"/>
  <c r="C18" i="17" s="1"/>
  <c r="X4" i="23"/>
  <c r="Y4" i="23" s="1"/>
  <c r="Z4" i="23" s="1"/>
  <c r="AB4" i="23" s="1"/>
  <c r="AC4" i="23" s="1"/>
  <c r="C4" i="17" s="1"/>
  <c r="C4" i="3" s="1"/>
  <c r="X33" i="23"/>
  <c r="Y33" i="23" s="1"/>
  <c r="Z33" i="23" s="1"/>
  <c r="AB33" i="23" s="1"/>
  <c r="AC33" i="23" s="1"/>
  <c r="C25" i="17" s="1"/>
  <c r="C25" i="3" s="1"/>
  <c r="X34" i="23"/>
  <c r="Y34" i="23" s="1"/>
  <c r="Z34" i="23" s="1"/>
  <c r="AB34" i="23" s="1"/>
  <c r="AC34" i="23" s="1"/>
  <c r="C26" i="17" s="1"/>
  <c r="C26" i="3" s="1"/>
  <c r="AB30" i="23"/>
  <c r="AC30" i="23" s="1"/>
  <c r="V14" i="23"/>
  <c r="R14" i="23"/>
  <c r="T14" i="23"/>
  <c r="S14" i="23"/>
  <c r="O14" i="23"/>
  <c r="U14" i="23"/>
  <c r="Q14" i="23"/>
  <c r="P14" i="23"/>
  <c r="X13" i="23"/>
  <c r="Y13" i="23" s="1"/>
  <c r="Z13" i="23" s="1"/>
  <c r="AB13" i="23" s="1"/>
  <c r="AC13" i="23" s="1"/>
  <c r="C13" i="17" s="1"/>
  <c r="C13" i="3" s="1"/>
  <c r="X12" i="23"/>
  <c r="Y12" i="23" s="1"/>
  <c r="Z12" i="23" s="1"/>
  <c r="AB12" i="23" s="1"/>
  <c r="AC12" i="23" s="1"/>
  <c r="C12" i="17" s="1"/>
  <c r="C12" i="3" s="1"/>
  <c r="U11" i="23"/>
  <c r="Q11" i="23"/>
  <c r="V11" i="23"/>
  <c r="T11" i="23"/>
  <c r="P11" i="23"/>
  <c r="S11" i="23"/>
  <c r="O11" i="23"/>
  <c r="R11" i="23"/>
  <c r="S10" i="23"/>
  <c r="O10" i="23"/>
  <c r="Q10" i="23"/>
  <c r="P10" i="23"/>
  <c r="V10" i="23"/>
  <c r="R10" i="23"/>
  <c r="U10" i="23"/>
  <c r="T10" i="23"/>
  <c r="X8" i="23"/>
  <c r="Y8" i="23" s="1"/>
  <c r="Z8" i="23" s="1"/>
  <c r="AB8" i="23" s="1"/>
  <c r="AC8" i="23" s="1"/>
  <c r="C8" i="17" s="1"/>
  <c r="C8" i="3" s="1"/>
  <c r="X7" i="23"/>
  <c r="Y7" i="23" s="1"/>
  <c r="Z7" i="23" s="1"/>
  <c r="AB7" i="23" s="1"/>
  <c r="AC7" i="23" s="1"/>
  <c r="C7" i="17" s="1"/>
  <c r="C7" i="3" s="1"/>
  <c r="S3" i="23"/>
  <c r="O3" i="23"/>
  <c r="R3" i="23"/>
  <c r="P3" i="23"/>
  <c r="Q3" i="23"/>
  <c r="T3" i="23"/>
  <c r="U3" i="23"/>
  <c r="V3" i="23"/>
  <c r="B24" i="23"/>
  <c r="B15" i="23"/>
  <c r="C18" i="3"/>
  <c r="C17" i="3"/>
  <c r="C5" i="3"/>
  <c r="D3" i="13" l="1"/>
  <c r="X6" i="23"/>
  <c r="Y6" i="23" s="1"/>
  <c r="Z6" i="23" s="1"/>
  <c r="AB6" i="23" s="1"/>
  <c r="AC6" i="23" s="1"/>
  <c r="C6" i="17" s="1"/>
  <c r="C22" i="17"/>
  <c r="C22" i="3" s="1"/>
  <c r="X14" i="23"/>
  <c r="Y14" i="23" s="1"/>
  <c r="Z14" i="23" s="1"/>
  <c r="AB14" i="23" s="1"/>
  <c r="AC14" i="23" s="1"/>
  <c r="C14" i="17" s="1"/>
  <c r="C14" i="3" s="1"/>
  <c r="X11" i="23"/>
  <c r="Y11" i="23" s="1"/>
  <c r="Z11" i="23" s="1"/>
  <c r="AB11" i="23" s="1"/>
  <c r="AC11" i="23" s="1"/>
  <c r="C11" i="17" s="1"/>
  <c r="C11" i="3" s="1"/>
  <c r="X10" i="23"/>
  <c r="Y10" i="23" s="1"/>
  <c r="Z10" i="23" s="1"/>
  <c r="AB10" i="23" s="1"/>
  <c r="AC10" i="23" s="1"/>
  <c r="C10" i="17" s="1"/>
  <c r="C10" i="3" s="1"/>
  <c r="X3" i="23"/>
  <c r="Y3" i="23" s="1"/>
  <c r="Z3" i="23" s="1"/>
  <c r="AB3" i="23" s="1"/>
  <c r="AC3" i="23" s="1"/>
  <c r="C3" i="17" s="1"/>
  <c r="C3" i="3" s="1"/>
  <c r="U15" i="23"/>
  <c r="Q15" i="23"/>
  <c r="B16" i="23"/>
  <c r="S15" i="23"/>
  <c r="O15" i="23"/>
  <c r="V15" i="23"/>
  <c r="R15" i="23"/>
  <c r="T15" i="23"/>
  <c r="P15" i="23"/>
  <c r="B27" i="23"/>
  <c r="P24" i="23"/>
  <c r="T24" i="23"/>
  <c r="B25" i="23"/>
  <c r="R24" i="23"/>
  <c r="S24" i="23"/>
  <c r="V24" i="23"/>
  <c r="U24" i="23"/>
  <c r="B26" i="23"/>
  <c r="Q24" i="23"/>
  <c r="AD24" i="23"/>
  <c r="AG24" i="23" s="1"/>
  <c r="O24" i="23"/>
  <c r="D25" i="3"/>
  <c r="B5" i="21"/>
  <c r="C19" i="3"/>
  <c r="B4" i="21" s="1"/>
  <c r="C6" i="3"/>
  <c r="C23" i="3"/>
  <c r="X15" i="23" l="1"/>
  <c r="Y15" i="23" s="1"/>
  <c r="Z15" i="23" s="1"/>
  <c r="AB15" i="23" s="1"/>
  <c r="R26" i="23"/>
  <c r="S26" i="23"/>
  <c r="AD26" i="23"/>
  <c r="V26" i="23"/>
  <c r="P26" i="23"/>
  <c r="U26" i="23"/>
  <c r="T26" i="23"/>
  <c r="O26" i="23"/>
  <c r="AE26" i="23"/>
  <c r="Q26" i="23"/>
  <c r="AF26" i="23"/>
  <c r="AD27" i="23"/>
  <c r="AF27" i="23"/>
  <c r="AE27" i="23"/>
  <c r="U16" i="23"/>
  <c r="O16" i="23"/>
  <c r="V16" i="23"/>
  <c r="P16" i="23"/>
  <c r="Q16" i="23"/>
  <c r="R16" i="23"/>
  <c r="T16" i="23"/>
  <c r="B17" i="23"/>
  <c r="AB17" i="23" s="1"/>
  <c r="S16" i="23"/>
  <c r="X24" i="23"/>
  <c r="Y24" i="23" s="1"/>
  <c r="Z24" i="23" s="1"/>
  <c r="AB24" i="23" s="1"/>
  <c r="AH24" i="23" s="1"/>
  <c r="V25" i="23"/>
  <c r="Q25" i="23"/>
  <c r="AD25" i="23"/>
  <c r="AE25" i="23"/>
  <c r="T25" i="23"/>
  <c r="P25" i="23"/>
  <c r="S25" i="23"/>
  <c r="R25" i="23"/>
  <c r="U25" i="23"/>
  <c r="O25" i="23"/>
  <c r="D17" i="3"/>
  <c r="AG27" i="23" l="1"/>
  <c r="AH27" i="23" s="1"/>
  <c r="X25" i="23"/>
  <c r="Y25" i="23" s="1"/>
  <c r="Z25" i="23" s="1"/>
  <c r="AB25" i="23" s="1"/>
  <c r="X26" i="23"/>
  <c r="Y26" i="23" s="1"/>
  <c r="Z26" i="23" s="1"/>
  <c r="AB26" i="23" s="1"/>
  <c r="AG25" i="23"/>
  <c r="AG26" i="23"/>
  <c r="X16" i="23"/>
  <c r="Y16" i="23" s="1"/>
  <c r="Z16" i="23" s="1"/>
  <c r="AB16" i="23" s="1"/>
  <c r="AH17" i="23" s="1"/>
  <c r="AC18" i="23" s="1"/>
  <c r="C15" i="17" s="1"/>
  <c r="C15" i="3" l="1"/>
  <c r="D3" i="8" s="1"/>
  <c r="B3" i="21" s="1"/>
  <c r="AH26" i="23"/>
  <c r="AH25" i="23"/>
  <c r="D3" i="3" l="1"/>
  <c r="AH28" i="23"/>
  <c r="AC28" i="23" s="1"/>
  <c r="C21" i="17" s="1"/>
  <c r="C21" i="3" l="1"/>
  <c r="C35" i="17"/>
  <c r="D21" i="3"/>
  <c r="E2" i="3" s="1"/>
  <c r="B3" i="27" s="1"/>
  <c r="B8" i="21" l="1"/>
  <c r="E44" i="23" s="1"/>
  <c r="AC44" i="23" s="1"/>
</calcChain>
</file>

<file path=xl/sharedStrings.xml><?xml version="1.0" encoding="utf-8"?>
<sst xmlns="http://schemas.openxmlformats.org/spreadsheetml/2006/main" count="375" uniqueCount="221">
  <si>
    <t xml:space="preserve">I53_1 - Numero dipendenti SOS/numero dipendenti SA (peso w1=15);  </t>
  </si>
  <si>
    <t>I53_1b - Numero Dirigenti SOS (peso w1b=15);</t>
  </si>
  <si>
    <t>I53_1c - Numero Funzionari SOS (peso w1c =15);</t>
  </si>
  <si>
    <t>I53_1d - Numero Impiegati SOS (peso w1d =15);</t>
  </si>
  <si>
    <t>I53_2 - Numero laureati SPECIALISTICA SOS/numero dipendenti SOS (peso w2=10);</t>
  </si>
  <si>
    <t>I53_3 - Numero laureati 1 LIVELLO SOS/numero dipendenti SOS (peso w3=8);</t>
  </si>
  <si>
    <t>I53_4 - Numero DIPLOMATI TECNICI OS /numero DIPLOMATI SOS (peso w4=5);</t>
  </si>
  <si>
    <t>I53_5 - Numero dipendenti ESPERTI (5+) SOS /numero dipendenti SOS (peso w5=13);</t>
  </si>
  <si>
    <t>I53_6 - Numero dipendenti MASTER I SOS/numero dipendenti SOS (peso w6=11);</t>
  </si>
  <si>
    <t>I53_7 - Numero dipendenti MASTER II_PHD SOS /numero dipendenti SOS (peso w7=13);</t>
  </si>
  <si>
    <t>I53_8 - Numero dipendenti ISCRITTI ALBO /numero dipendenti SOS (peso w8=11);</t>
  </si>
  <si>
    <t xml:space="preserve">I53_9 - Numero dipendenti adeguata compet. in PROJECTMANAGER SOS /numero dipendenti SOS (peso w9=11); </t>
  </si>
  <si>
    <t>I53_prod -  Numero gare aggiudicate nel quinquennio ponderate sulla base della complessità della specifica procedura / Numero dipendenti SOS (peso w1prod =75)"</t>
  </si>
  <si>
    <t xml:space="preserve">I55_1 - Numero gare aggiudicate (valutate secondo livello di complessità determinato con i pesi derivanti dall'analisi di regressione) (peso 85); </t>
  </si>
  <si>
    <t xml:space="preserve">I55_2 - Percentuale media di ritardo nei tempi aministrativi rispetto ai valori attesi ottenuti tramite l'analisi di regressione  (peso 10); </t>
  </si>
  <si>
    <t>I55_3 - Numero di gare con esito non postivo / Numero complessivo di gare bandite (peso 5);</t>
  </si>
  <si>
    <t>I56_1 - Numero gare bandite per le quali risulta comunicazione dell'esito/Numero gare bandite (peso 50);</t>
  </si>
  <si>
    <t>I56_2 - numero gare aggiudicate (scheda aggiudicazione)/numero gare bandite (che non hanno comunicato esito diverso da aggiudicazione)  (peso 50);</t>
  </si>
  <si>
    <t>5.3 SOS - PROFESSIONALITA'</t>
  </si>
  <si>
    <t>5.4 FORMAZIONE NEL TRIENNIO</t>
  </si>
  <si>
    <t>I54form_base = Numero dipendenti che hanno fruito di formazione BASE/numero dipendenti SOS (peso 20);</t>
  </si>
  <si>
    <t>I54form_spec = Numero dipendenti che hanno fruito di formazione SPECIALISTICA/numero dipendenti SOS (peso 60);</t>
  </si>
  <si>
    <t>I54form_avan = Numero dipendenti che hanno fruito di formazione AVANZATA/numero dipendenti SOS (peso 120);</t>
  </si>
  <si>
    <t>5.5 ESPERIENZA GARE</t>
  </si>
  <si>
    <t>5.6 COMUNICAZIONE ANAC</t>
  </si>
  <si>
    <t xml:space="preserve">I57_1 - Numero dei CUP Trasmessi / Numero Totale dei CUP di titolarità dell’Ente (peso 50); </t>
  </si>
  <si>
    <t>I57_2 - Somma dei pesi delle schede trasmesse per i CUP trasmessi / Numero Totale dei CUP di titolarità dell’Ente  (peso 50)</t>
  </si>
  <si>
    <t>Punteggio</t>
  </si>
  <si>
    <t>Valore Indice</t>
  </si>
  <si>
    <t>Percentuale media di ritardo nei tempi aministrativi rispetto ai valori attesi ottenuti tramite l'analisi di regressione</t>
  </si>
  <si>
    <t>*</t>
  </si>
  <si>
    <t>Indice</t>
  </si>
  <si>
    <t>Sottopeso</t>
  </si>
  <si>
    <t>Somma</t>
  </si>
  <si>
    <t>Min(F(X);100)</t>
  </si>
  <si>
    <t>MAX(0;Min(F(X);100))</t>
  </si>
  <si>
    <t>Peso Requisito</t>
  </si>
  <si>
    <t>Somma sottopeso</t>
  </si>
  <si>
    <t>PUNTEGGIO</t>
  </si>
  <si>
    <t>APERTA</t>
  </si>
  <si>
    <t>OEPV</t>
  </si>
  <si>
    <t>MAX</t>
  </si>
  <si>
    <t>NEGOZIATA</t>
  </si>
  <si>
    <t>RISTRETTA</t>
  </si>
  <si>
    <t>ALTRA PROC.</t>
  </si>
  <si>
    <t>Numero GARE AGGIUDICATE</t>
  </si>
  <si>
    <t>Classi d'importo/Livelli di qualificazione*</t>
  </si>
  <si>
    <t>Procedura°</t>
  </si>
  <si>
    <t>Criterio^</t>
  </si>
  <si>
    <r>
      <t xml:space="preserve">Con riferimento alle gare </t>
    </r>
    <r>
      <rPr>
        <b/>
        <sz val="11"/>
        <rFont val="Calibri"/>
        <family val="2"/>
        <scheme val="minor"/>
      </rPr>
      <t>BANDITE</t>
    </r>
    <r>
      <rPr>
        <sz val="11"/>
        <rFont val="Calibri"/>
        <family val="2"/>
        <scheme val="minor"/>
      </rPr>
      <t xml:space="preserve"> di cui punto 1: inserire in ciascuna cella della sottostante tabella il numero di gare </t>
    </r>
    <r>
      <rPr>
        <b/>
        <u/>
        <sz val="11"/>
        <rFont val="Calibri"/>
        <family val="2"/>
        <scheme val="minor"/>
      </rPr>
      <t>AGGIUDICATE</t>
    </r>
    <r>
      <rPr>
        <b/>
        <sz val="11"/>
        <rFont val="Calibri"/>
        <family val="2"/>
        <scheme val="minor"/>
      </rPr>
      <t xml:space="preserve"> </t>
    </r>
    <r>
      <rPr>
        <sz val="11"/>
        <rFont val="Calibri"/>
        <family val="2"/>
        <scheme val="minor"/>
      </rPr>
      <t>specificando la PROCEDURA di scelta del contraente, il CRITERIO di aggiudicazione e la CLASSE D'IMPORTO (LIVELLO DI QUALIFICAZIONE) a cui appartiene la base d'asta</t>
    </r>
  </si>
  <si>
    <r>
      <t xml:space="preserve">Con riferimento alle gare </t>
    </r>
    <r>
      <rPr>
        <b/>
        <sz val="11"/>
        <rFont val="Calibri"/>
        <family val="2"/>
        <scheme val="minor"/>
      </rPr>
      <t>BANDITE</t>
    </r>
    <r>
      <rPr>
        <sz val="11"/>
        <rFont val="Calibri"/>
        <family val="2"/>
        <scheme val="minor"/>
      </rPr>
      <t xml:space="preserve"> di cui punto 1: indicare il  numero di gare </t>
    </r>
    <r>
      <rPr>
        <b/>
        <sz val="11"/>
        <rFont val="Calibri"/>
        <family val="2"/>
        <scheme val="minor"/>
      </rPr>
      <t>AGGIUDICATE*</t>
    </r>
    <r>
      <rPr>
        <sz val="11"/>
        <rFont val="Calibri"/>
        <family val="2"/>
        <scheme val="minor"/>
      </rPr>
      <t xml:space="preserve"> </t>
    </r>
  </si>
  <si>
    <t>&gt;= 150.000 euro e &lt; 1.000.000 -(livello L3)</t>
  </si>
  <si>
    <t>&gt;= 1.000.000 e &lt;soglia comunitaria -(livello L2)</t>
  </si>
  <si>
    <t>&gt;=soglia comunitaria - (livello L1)</t>
  </si>
  <si>
    <t>INSERISCI VALORE</t>
  </si>
  <si>
    <t>DATI REQUISITO: numero di gare svolte per i vari livelli di qualificazione nel quinquennio precedente a quello della domanda di qualificazione</t>
  </si>
  <si>
    <t>DATI REQUISITO: assolvimento degli obblighi di comunicazione dei dati sui contratti pubblici che alimentano le banche dati detenute o gestite dall’Autorità</t>
  </si>
  <si>
    <t>I53_4 - Numero DIPLOMATI TECNICI SOS /numero DIPLOMATI SOS (peso w4=5);</t>
  </si>
  <si>
    <t>COMPETENZE</t>
  </si>
  <si>
    <t>FORMAZIONE</t>
  </si>
  <si>
    <r>
      <t xml:space="preserve">Numero gare </t>
    </r>
    <r>
      <rPr>
        <b/>
        <sz val="11"/>
        <rFont val="Calibri"/>
        <family val="2"/>
        <scheme val="minor"/>
      </rPr>
      <t>BANDITE</t>
    </r>
    <r>
      <rPr>
        <sz val="11"/>
        <rFont val="Calibri"/>
        <family val="2"/>
        <scheme val="minor"/>
      </rPr>
      <t xml:space="preserve"> nell'ultimo quinquennio di importo a base d'asta* &gt;=150.000 euro</t>
    </r>
  </si>
  <si>
    <t>I56_2 - Numero gare aggiudicate (scheda aggiudicazione)/numero gare bandite (che non hanno comunicato esito negativo)  (peso 50);</t>
  </si>
  <si>
    <t>I56_1 - Numero gare bandite per le quali risulta comunicazione dell'esito/numero gare bandite (peso 50);</t>
  </si>
  <si>
    <t>I53_prod -  Numero gare aggiudicate nel quinquennio ponderate sulla base della complessità della specifica procedura / numero dipendenti SOS (peso w1prod =75)"</t>
  </si>
  <si>
    <t>I55_3 - Numero di gare con esito non positivo / numero complessivo di gare bandite (peso 5);</t>
  </si>
  <si>
    <t>b0</t>
  </si>
  <si>
    <t>b1</t>
  </si>
  <si>
    <t>b2</t>
  </si>
  <si>
    <t>b3</t>
  </si>
  <si>
    <t>b4</t>
  </si>
  <si>
    <t>b5</t>
  </si>
  <si>
    <t>b6</t>
  </si>
  <si>
    <t>b7</t>
  </si>
  <si>
    <t>Dettaglio/NOTE</t>
  </si>
  <si>
    <t>*forzato il valore a 100 sopra una soglia prossima al limite superiore</t>
  </si>
  <si>
    <t>5.3 SOS - PROFESSIONALITA' (PESO REQUISITO 20)</t>
  </si>
  <si>
    <t>I53_prod -  Numero gare aggiudicate nel quinquennio ponderate sulla base della complessità della specifica procedura / Numero dipendenti SOS (peso w1prod =75).</t>
  </si>
  <si>
    <t>5.4 FORMAZIONE NEL TRIENNIO  (PESO REQUISITO 20)</t>
  </si>
  <si>
    <t>5.5 ESPERIENZA GARE  (PESO REQUISITO 40)</t>
  </si>
  <si>
    <t>x &lt;= 1100</t>
  </si>
  <si>
    <t xml:space="preserve">Intercept Intercept 1 </t>
  </si>
  <si>
    <t xml:space="preserve">OEPV_APERTA   1 </t>
  </si>
  <si>
    <t xml:space="preserve">OEPV_RISTRETTA   1 </t>
  </si>
  <si>
    <t xml:space="preserve">MAX_APERTA   1 </t>
  </si>
  <si>
    <t xml:space="preserve">MAX_RISTRETTA   1 </t>
  </si>
  <si>
    <t>MAX_NEGOZIATA   1</t>
  </si>
  <si>
    <t xml:space="preserve">L1   1 </t>
  </si>
  <si>
    <t>L2   1</t>
  </si>
  <si>
    <t>NC_APERTA</t>
  </si>
  <si>
    <t>NC_nc</t>
  </si>
  <si>
    <t xml:space="preserve">OEPV_ProcAltro= OEPV_APERTA = </t>
  </si>
  <si>
    <t>MAX_ProcAltro=</t>
  </si>
  <si>
    <t>MAX_APERTA=</t>
  </si>
  <si>
    <t>L3</t>
  </si>
  <si>
    <t>L2</t>
  </si>
  <si>
    <t>L1</t>
  </si>
  <si>
    <t>Numero dipendenti della Struttura Organizzativa Stabile che hanno fruito di formazione BASE</t>
  </si>
  <si>
    <t>Numero dipendenti della Struttura Organizzativa Stabile che hanno fruito di formazione SPECIALISTICA</t>
  </si>
  <si>
    <t>Numero dipendenti della Struttura Organizzativa Stabileche hanno fruito di formazione AVANZATA</t>
  </si>
  <si>
    <t>Punteggio Complessivo Requisito</t>
  </si>
  <si>
    <t>Indicatore</t>
  </si>
  <si>
    <r>
      <t xml:space="preserve">DATI REQUISITO: presenza nella struttura organizzativa di dipendenti aventi specifiche competenze 
</t>
    </r>
    <r>
      <rPr>
        <b/>
        <i/>
        <sz val="9"/>
        <color theme="3" tint="-0.499984740745262"/>
        <rFont val="Calibri"/>
        <family val="2"/>
        <scheme val="minor"/>
      </rPr>
      <t>(alla data del ggmmaaaa)</t>
    </r>
  </si>
  <si>
    <r>
      <t xml:space="preserve">DATI REQUISITO: sistema di formazione e aggiornamento del personale 
</t>
    </r>
    <r>
      <rPr>
        <b/>
        <i/>
        <sz val="9"/>
        <color theme="3" tint="-0.499984740745262"/>
        <rFont val="Calibri"/>
        <family val="2"/>
        <scheme val="minor"/>
      </rPr>
      <t>(dati ultimo triennio)</t>
    </r>
  </si>
  <si>
    <t>Offerta economicamente più vantaggiosa</t>
  </si>
  <si>
    <t>Massimo ribasso</t>
  </si>
  <si>
    <t>Aperta</t>
  </si>
  <si>
    <t>Negoziata</t>
  </si>
  <si>
    <t>Ristretta</t>
  </si>
  <si>
    <t xml:space="preserve">Altra procedura </t>
  </si>
  <si>
    <t>Procedura di scelta del contraente</t>
  </si>
  <si>
    <t>Criterio di scelta del contraente</t>
  </si>
  <si>
    <t>Punteggio TOTALE</t>
  </si>
  <si>
    <t>Percentuale media di ritardo nei tempi amministrativi rispetto ai valori attesi ottenuti tramite l'analisi dei dati presenti su BDNCP**</t>
  </si>
  <si>
    <t>Classi d'importo/Livelli di qualificazione</t>
  </si>
  <si>
    <t>** Il dato non è direttamente conoscibile dalla Amministrazione - per tale ragione è stato precompilato il campo cun un valore "medio" (45%)</t>
  </si>
  <si>
    <t>Inserire valori</t>
  </si>
  <si>
    <r>
      <t xml:space="preserve">Con riferimento alle gare </t>
    </r>
    <r>
      <rPr>
        <b/>
        <sz val="11"/>
        <rFont val="Calibri"/>
        <family val="2"/>
        <scheme val="minor"/>
      </rPr>
      <t>BANDITE</t>
    </r>
    <r>
      <rPr>
        <sz val="11"/>
        <rFont val="Calibri"/>
        <family val="2"/>
        <scheme val="minor"/>
      </rPr>
      <t xml:space="preserve"> di cui punto 1: indicare il  numero di gare per le quali è stato comunicato l'</t>
    </r>
    <r>
      <rPr>
        <b/>
        <sz val="11"/>
        <rFont val="Calibri"/>
        <family val="2"/>
        <scheme val="minor"/>
      </rPr>
      <t>ESITO</t>
    </r>
    <r>
      <rPr>
        <sz val="11"/>
        <rFont val="Calibri"/>
        <family val="2"/>
        <scheme val="minor"/>
      </rPr>
      <t xml:space="preserve"> all'Autorità (BDNCP)</t>
    </r>
  </si>
  <si>
    <t>Con riferimento alle gare AGGIUDICATE di cui al punto 4: inserire in ciascuna cella della sottostante tabella il numero di gare AGGIUDICATE specificando la PROCEDURA di scelta del contraente, il CRITERIO di aggiudicazione e la CLASSE D'IMPORTO (LIVELLO DI QUALIFICAZIONE) a cui appartiene la base d'asta</t>
  </si>
  <si>
    <t>Numero COMPLESSIVO dipendenti Stazione Appaltante</t>
  </si>
  <si>
    <t>Numero COMPLESSIVO dipendenti Struttura Organizzativa Stabile (SOS)</t>
  </si>
  <si>
    <t>di cui dirigenti (SOS)</t>
  </si>
  <si>
    <t>di cui funzionari (SOS)</t>
  </si>
  <si>
    <t>di cui impiegati  (SOS)</t>
  </si>
  <si>
    <t>Numero laureati SPECIALISTICA (SOS)</t>
  </si>
  <si>
    <t>Numero laureati 1 LIVELLO (SOS)</t>
  </si>
  <si>
    <t>Numero DIPLOMATI  (SOS)</t>
  </si>
  <si>
    <t>Numero dipendenti ESPERTI (con più di 5 anni di ESPERIENZA negli ambiti e settori di qualificazione)  (SOS)</t>
  </si>
  <si>
    <t>Numero dipendenti MASTER I Livello (SOS)</t>
  </si>
  <si>
    <t>Numero dipendenti MASTER II Livello o DOTTORATO DI RICERCA  (SOS)</t>
  </si>
  <si>
    <t>Numero dipendenti ISCRITTI ALBO PROFESSIONALE/ORDINE  (SOS)</t>
  </si>
  <si>
    <t>Numero dipendenti adeguata competenza in PROJECT MANAGEMENT  (SOS)</t>
  </si>
  <si>
    <t>di cui DIPLOMATI TECNICI (SOS)</t>
  </si>
  <si>
    <t>Dati precaricati dal foglio GARE</t>
  </si>
  <si>
    <t>numero di gare svolte per i vari livelli di qualificazione nel quinquennio precedente a quello della domanda di qualificazione</t>
  </si>
  <si>
    <t xml:space="preserve">presenza nella struttura organizzativa di dipendenti aventi specifiche competenze </t>
  </si>
  <si>
    <t xml:space="preserve">sistema di formazione e aggiornamento del personale </t>
  </si>
  <si>
    <t>assolvimento degli obblighi di comunicazione dei dati sui contratti pubblici che alimentano le banche dati detenute o gestite dall’Autorità</t>
  </si>
  <si>
    <t>Requisito</t>
  </si>
  <si>
    <t>Punteggio complessivo</t>
  </si>
  <si>
    <t>GARE</t>
  </si>
  <si>
    <r>
      <t xml:space="preserve">Con riferimento alle gare di cui al punto 2 indicare il  numero di gare per le quali è stato comunicato un </t>
    </r>
    <r>
      <rPr>
        <b/>
        <sz val="11"/>
        <rFont val="Calibri"/>
        <family val="2"/>
        <scheme val="minor"/>
      </rPr>
      <t>ESITO NEGATIVO*</t>
    </r>
  </si>
  <si>
    <r>
      <t xml:space="preserve">Con riferimento alle gare di cui al punto 2 indicare il  numero di gare per le quali è stato comunicato un </t>
    </r>
    <r>
      <rPr>
        <b/>
        <sz val="11"/>
        <rFont val="Calibri"/>
        <family val="2"/>
        <scheme val="minor"/>
      </rPr>
      <t>ESITO NEGATIVO</t>
    </r>
    <r>
      <rPr>
        <sz val="11"/>
        <rFont val="Calibri"/>
        <family val="2"/>
        <scheme val="minor"/>
      </rPr>
      <t>*</t>
    </r>
  </si>
  <si>
    <r>
      <t xml:space="preserve">Con riferimento alle gare di cui al punto 2 indicare il  numero di gare per le quali è stata comunicata la scheda di </t>
    </r>
    <r>
      <rPr>
        <b/>
        <sz val="11"/>
        <rFont val="Calibri"/>
        <family val="2"/>
        <scheme val="minor"/>
      </rPr>
      <t>AGGIUDICAZIONE</t>
    </r>
  </si>
  <si>
    <t>COMUNICAZIONE ANAC</t>
  </si>
  <si>
    <t>Punteggio Requisito</t>
  </si>
  <si>
    <t>Punteggio Indicatore</t>
  </si>
  <si>
    <t>Il calcolo per ottenere il valore del punteggio associato ad ogni specifico indice lo si ottiene inserendo il valore dell'indice (x) in un polinomio (P(x)) del tipo P(x)=b_0+b_1 x+b_2 x^2+b_3 x^3+b_4 x^4+b_5 x^5+b_6 x^6+b_7 x^7 utilizzando i parametre b_* riportati nella tabella. 
Le formule di ciascun polinomio rappresentano l'approssimazione matematica ottenuta a partire dal calcolo delle funzioni di ripartizioni empiriche come descritte nelle Linee Guida</t>
  </si>
  <si>
    <t>x &lt;= 570</t>
  </si>
  <si>
    <t>x &gt; 570</t>
  </si>
  <si>
    <t>1100 &lt; x &lt;= 5000</t>
  </si>
  <si>
    <t>5000 &lt; x &lt;= 30000</t>
  </si>
  <si>
    <t>x&gt;30000</t>
  </si>
  <si>
    <t>5.7 MONITORAGGIO RGS  (PESO REQUISITO 0)</t>
  </si>
  <si>
    <t>&gt;= 750.000 e &lt;5.000.000 
(livello SF2)</t>
  </si>
  <si>
    <t>&gt;=5.000.000
(livello SF1)</t>
  </si>
  <si>
    <t>6bis</t>
  </si>
  <si>
    <t>Sei una centrale di committenza?</t>
  </si>
  <si>
    <t>SI</t>
  </si>
  <si>
    <t>NUMERO DI SOGGETTI CONVENZIONATI</t>
  </si>
  <si>
    <t>NO</t>
  </si>
  <si>
    <t>INDCE RECUPERO PUNTEGGIO - CENTRALI COMMITTENZA (All. II.4 -art. 7 c.3)</t>
  </si>
  <si>
    <t>INDEX - CENTRALI_COMMITTENZA (recupero 20% punteggio);</t>
  </si>
  <si>
    <t>numero convenzionate</t>
  </si>
  <si>
    <t>punteggio sottratto-RECUPERABILE</t>
  </si>
  <si>
    <t>% RECUPERO</t>
  </si>
  <si>
    <t>1 punto acquisito per ogni amm. convenzionata (fino a max 20%)</t>
  </si>
  <si>
    <r>
      <t xml:space="preserve">Per attività formative si intendono corsi di formazione, di perfezionamento, di specializzazione, diplomi, master, anche da remoto (con esclusione delle attività convegnistiche), che abbiano ad oggetto le seguenti materie: 
•             Il codice dei contratti pubblici
•             Analisi economica dei contratti pubblici
•             E-procurement pubblico
•             Il Project management
</t>
    </r>
    <r>
      <rPr>
        <b/>
        <i/>
        <sz val="9"/>
        <color theme="1"/>
        <rFont val="Calibri"/>
        <family val="2"/>
        <scheme val="minor"/>
      </rPr>
      <t>Formazione base</t>
    </r>
    <r>
      <rPr>
        <i/>
        <sz val="9"/>
        <color theme="1"/>
        <rFont val="Calibri"/>
        <family val="2"/>
        <scheme val="minor"/>
      </rPr>
      <t xml:space="preserve">
Attività formative che prevedano il rilascio di un attestato di partecipazione, che abbiano una durata complessiva di almeno 20 ore, realizzate anche in modalità FAD. Per il computo delle ore sono valutabili anche attività formative di durata inferiore, purché di almeno 4 ore e che prevedano il rilascio dell’attestato di partecipazione. 
</t>
    </r>
    <r>
      <rPr>
        <b/>
        <i/>
        <sz val="9"/>
        <color theme="1"/>
        <rFont val="Calibri"/>
        <family val="2"/>
        <scheme val="minor"/>
      </rPr>
      <t>Formazione specialistica</t>
    </r>
    <r>
      <rPr>
        <i/>
        <sz val="9"/>
        <color theme="1"/>
        <rFont val="Calibri"/>
        <family val="2"/>
        <scheme val="minor"/>
      </rPr>
      <t xml:space="preserve">
Corsi di formazione con attestato di superamento di una prova di valutazione finale, che abbiano una durata complessiva di almeno 60 ore, erogati anche a distanza purché con modalità sincrona interattiva. A titolo esemplificativo: master di I° livello, corsi di perfezionamento universitario, corsi avanzati SNA, purché, singolarmente considerati, di durata non inferiore a 30 ore.
</t>
    </r>
    <r>
      <rPr>
        <b/>
        <i/>
        <sz val="9"/>
        <color theme="1"/>
        <rFont val="Calibri"/>
        <family val="2"/>
        <scheme val="minor"/>
      </rPr>
      <t>Formazione avanzata</t>
    </r>
    <r>
      <rPr>
        <i/>
        <sz val="9"/>
        <color theme="1"/>
        <rFont val="Calibri"/>
        <family val="2"/>
        <scheme val="minor"/>
      </rPr>
      <t xml:space="preserve">
Diploma di esperto in appalti pubblici SNA e Master universitari di II° livello, con prova di valutazione finale, della durata di almeno </t>
    </r>
    <r>
      <rPr>
        <i/>
        <sz val="9"/>
        <color rgb="FFFF0000"/>
        <rFont val="Calibri"/>
        <family val="2"/>
        <scheme val="minor"/>
      </rPr>
      <t>150</t>
    </r>
    <r>
      <rPr>
        <i/>
        <sz val="9"/>
        <color theme="1"/>
        <rFont val="Calibri"/>
        <family val="2"/>
        <scheme val="minor"/>
      </rPr>
      <t xml:space="preserve"> ore.
</t>
    </r>
  </si>
  <si>
    <r>
      <t xml:space="preserve">Note: escludere affidamenti diretti in adesione accordo quadro. Escludere modalità realizzazione </t>
    </r>
    <r>
      <rPr>
        <i/>
        <sz val="11"/>
        <rFont val="Calibri"/>
        <family val="2"/>
        <scheme val="minor"/>
      </rPr>
      <t>contratto d'appalto discendente da accordo quadro/convenzione senza successivo confronto competitivo</t>
    </r>
    <r>
      <rPr>
        <sz val="11"/>
        <rFont val="Calibri"/>
        <family val="2"/>
        <scheme val="minor"/>
      </rPr>
      <t xml:space="preserve"> e </t>
    </r>
    <r>
      <rPr>
        <i/>
        <sz val="11"/>
        <rFont val="Calibri"/>
        <family val="2"/>
        <scheme val="minor"/>
      </rPr>
      <t>contratto di concessione di servizi discendente da accordo quadro/convenzione senza successivo confronto competitivo</t>
    </r>
  </si>
  <si>
    <t>&gt;3</t>
  </si>
  <si>
    <t>Numero Gare su Delega</t>
  </si>
  <si>
    <t>DATI REQUISITO: nuovi criteri premiali di cui all'articolo 11 comma 2 Allegato II.4</t>
  </si>
  <si>
    <t>la disponibilità ad essere inseriti nell'elenco di cui all'articolo 62, comma 10, del codice e aver effettuato affidamenti per conto di stazioni appaltanti non qualificate anche al di sotto della soglia di cui all’articolo 62, comma 1</t>
  </si>
  <si>
    <t>l’aggregazione di stazioni appaltanti per lo svolgimento in comune degli affidamenti e dell’esecuzione.</t>
  </si>
  <si>
    <t>la specializzazione per ambiti settoriali da parte delle stazioni appaltanti e delle centrali di committenza qualificate</t>
  </si>
  <si>
    <t>l’efficienza decisionale della stazione appaltante rispetto alla fase dell’affidamento, da intendersi quale tempo intercorrente tra la ricezione delle offerte e la stipula del contratto e che non deve essere superiore in media a centoquindici giorni.</t>
  </si>
  <si>
    <t>DATA ISTANZA: 11/07/2025</t>
  </si>
  <si>
    <t>CIG</t>
  </si>
  <si>
    <t>Ruolo SA</t>
  </si>
  <si>
    <t>Funzione Delegata</t>
  </si>
  <si>
    <t>Data scadenza offerte</t>
  </si>
  <si>
    <t>Data aggiudicazione</t>
  </si>
  <si>
    <t>Data stipula</t>
  </si>
  <si>
    <t>123ADTR456</t>
  </si>
  <si>
    <t>Titolare</t>
  </si>
  <si>
    <t>01234FETP6</t>
  </si>
  <si>
    <t>Delegata</t>
  </si>
  <si>
    <t>Fino aggiudicazione</t>
  </si>
  <si>
    <t>Giorni effettivi per calcolo</t>
  </si>
  <si>
    <t>Criteri</t>
  </si>
  <si>
    <t>Nuovi criteri premiali</t>
  </si>
  <si>
    <t>GARE SU DELEGA</t>
  </si>
  <si>
    <t>NUOVI CRITERI PREMIALI</t>
  </si>
  <si>
    <t>GARE DELEGATE</t>
  </si>
  <si>
    <t>Gare per Punto 3 (simulazione). Delle 3 gare registrate sopra 150.000 dal 1/1/2025, assumiamo tutte e 3 stipulate con procedura aperta non accordo quadro-convenzione</t>
  </si>
  <si>
    <t>Prime 3 cifre CPV prevalente</t>
  </si>
  <si>
    <t>5.6 COMUNICAZIONE ANAC  (PESO REQUISITO 5)</t>
  </si>
  <si>
    <t>EFFICIENZA DECISIONALE  (PESO REQUISITO 10)</t>
  </si>
  <si>
    <t>GARE DELEGATA  (PESO REQUISITO 5)</t>
  </si>
  <si>
    <t>Riassunto Punteggio</t>
  </si>
  <si>
    <r>
      <t>&gt;</t>
    </r>
    <r>
      <rPr>
        <sz val="9"/>
        <color rgb="FFFF0000"/>
        <rFont val="Calibri"/>
        <family val="2"/>
        <scheme val="minor"/>
      </rPr>
      <t xml:space="preserve"> 150.000</t>
    </r>
    <r>
      <rPr>
        <sz val="9"/>
        <color theme="3" tint="-0.499984740745262"/>
        <rFont val="Calibri"/>
        <family val="2"/>
        <scheme val="minor"/>
      </rPr>
      <t xml:space="preserve"> euro e &lt; 750.000
(livello SF3)</t>
    </r>
  </si>
  <si>
    <r>
      <t xml:space="preserve">Numero gare </t>
    </r>
    <r>
      <rPr>
        <b/>
        <sz val="11"/>
        <rFont val="Calibri"/>
        <family val="2"/>
        <scheme val="minor"/>
      </rPr>
      <t>BANDITE</t>
    </r>
    <r>
      <rPr>
        <sz val="11"/>
        <rFont val="Calibri"/>
        <family val="2"/>
        <scheme val="minor"/>
      </rPr>
      <t xml:space="preserve"> nell'ultimo quinquennio di importo a base d'asta</t>
    </r>
    <r>
      <rPr>
        <sz val="11"/>
        <color rgb="FFFF0000"/>
        <rFont val="Calibri"/>
        <family val="2"/>
        <scheme val="minor"/>
      </rPr>
      <t xml:space="preserve"> &gt;150.000 euro</t>
    </r>
  </si>
  <si>
    <t>Punteggi attribuibili</t>
  </si>
  <si>
    <t>Inserire valori Indice</t>
  </si>
  <si>
    <r>
      <t xml:space="preserve">Numero gare </t>
    </r>
    <r>
      <rPr>
        <b/>
        <sz val="11"/>
        <rFont val="Calibri"/>
        <family val="2"/>
        <scheme val="minor"/>
      </rPr>
      <t>BANDITE</t>
    </r>
    <r>
      <rPr>
        <sz val="11"/>
        <rFont val="Calibri"/>
        <family val="2"/>
        <scheme val="minor"/>
      </rPr>
      <t xml:space="preserve"> nell'ultimo quinquennio di importo a base d'asta </t>
    </r>
    <r>
      <rPr>
        <sz val="11"/>
        <color rgb="FFFF0000"/>
        <rFont val="Calibri"/>
        <family val="2"/>
        <scheme val="minor"/>
      </rPr>
      <t>&gt;150.000</t>
    </r>
    <r>
      <rPr>
        <sz val="11"/>
        <rFont val="Calibri"/>
        <family val="2"/>
        <scheme val="minor"/>
      </rPr>
      <t xml:space="preserve"> euro</t>
    </r>
  </si>
  <si>
    <t>Note: Assumiamo Punto 1 autodichiarazione=SI in cella C3. Altrimenti valorizzare con NO</t>
  </si>
  <si>
    <t xml:space="preserve"> = OEPV_APERTA=</t>
  </si>
  <si>
    <t>NC_nEGOZIATA = OEPV_NEGOZIATA=</t>
  </si>
  <si>
    <t>NC_ristretta = OEPV_RISTRETTA=</t>
  </si>
  <si>
    <t xml:space="preserve"> = OEPV_NEGOZIATA=</t>
  </si>
  <si>
    <r>
      <t xml:space="preserve">Note: punto 3 calcolato su CPV prevalente comunicata. Indicatore dato dal rapporto tra CPV a tre cifre prevalente più frequente e totale contratti con CPV prevalente comunicata. </t>
    </r>
    <r>
      <rPr>
        <b/>
        <sz val="11"/>
        <color theme="1"/>
        <rFont val="Calibri"/>
        <family val="2"/>
        <scheme val="minor"/>
      </rPr>
      <t>Assumiamo che tutti I CIG banditi abbiano CPV prevalente comunicata</t>
    </r>
    <r>
      <rPr>
        <sz val="11"/>
        <color theme="1"/>
        <rFont val="Calibri"/>
        <family val="2"/>
        <scheme val="minor"/>
      </rPr>
      <t>. Esempio: 3 CIG considerati in GARE con CPV prevalente comunicata. Assumiamo che la più frequente inizia con 331 presente in 2 CIG. Indicatore sarà pari a 2/3</t>
    </r>
  </si>
  <si>
    <t>331</t>
  </si>
  <si>
    <t>851</t>
  </si>
  <si>
    <t>Tempo di stipula convenzionale</t>
  </si>
  <si>
    <t>03456ART98</t>
  </si>
  <si>
    <t>&gt;150.000 euro e &lt; 1.000.000 -(livello L3)</t>
  </si>
  <si>
    <t>Acquisizione di servizi e forniture sotto 140.000 euro mediante ricorso a stazioni appaltanti e centrali di committenza qualificate nel quinquennio precedente alla data di presentazione istanza</t>
  </si>
  <si>
    <r>
      <t>DATI REQUISITO: Acquisizione di servizi e forniture di importo inferiore a 140.000 euro mediante ricorso a stazioni appaltanti e centrali di committenza qualificate nel quinquennio precedente alla data di presentazione istanza (</t>
    </r>
    <r>
      <rPr>
        <b/>
        <i/>
        <sz val="11"/>
        <color rgb="FFFF0000"/>
        <rFont val="Calibri"/>
        <family val="2"/>
        <scheme val="minor"/>
      </rPr>
      <t>sostituire valore nella cella C4 se conosciuto</t>
    </r>
    <r>
      <rPr>
        <b/>
        <i/>
        <sz val="11"/>
        <color theme="3" tint="-0.499984740745262"/>
        <rFont val="Calibri"/>
        <family val="2"/>
        <scheme val="minor"/>
      </rPr>
      <t>)</t>
    </r>
  </si>
  <si>
    <t>Acquisizione di servizi e forniture di importo inferiore a 140.000 mediante ricorso a stazioni appaltanti e centrali di committenza qualificate nel quinquennio precedente alla data di presentazione istanza</t>
  </si>
  <si>
    <t>Acquisizione di servizi e forniture di importo inferiore a 140.000 euro mediante ricorso a stazioni appaltanti e centrali di committenza qualificate nel quinquennio precedente alla data di presentazione istanza</t>
  </si>
  <si>
    <t>Note: punto 4. Nel caso in cui non ci sono gare che contribuiscono al calcolo, valorizzare con NA (NON PRECEDUTO DA =) la cella C6</t>
  </si>
  <si>
    <t>Note: Assumiamo Punto 2 autodichiarazione=SI in cella C4. Altrimenti valorizzare con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</si>
</sst>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0.000"/>
    <numFmt numFmtId="166" formatCode="0.0"/>
  </numFmts>
  <fonts count="3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1"/>
      <color theme="1"/>
      <name val="Calibri"/>
      <family val="2"/>
      <scheme val="minor"/>
    </font>
    <font>
      <b/>
      <i/>
      <sz val="11"/>
      <color theme="3" tint="-0.499984740745262"/>
      <name val="Calibri"/>
      <family val="2"/>
      <scheme val="minor"/>
    </font>
    <font>
      <b/>
      <i/>
      <sz val="9"/>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
      <b/>
      <sz val="24"/>
      <color theme="3" tint="-0.499984740745262"/>
      <name val="Calibri"/>
      <family val="2"/>
      <scheme val="minor"/>
    </font>
    <font>
      <sz val="9"/>
      <color theme="3" tint="-0.499984740745262"/>
      <name val="Calibri"/>
      <family val="2"/>
      <scheme val="minor"/>
    </font>
    <font>
      <sz val="10"/>
      <name val="Calibri"/>
      <family val="2"/>
      <scheme val="minor"/>
    </font>
    <font>
      <b/>
      <sz val="26"/>
      <color theme="3" tint="-0.499984740745262"/>
      <name val="Calibri"/>
      <family val="2"/>
      <scheme val="minor"/>
    </font>
    <font>
      <b/>
      <sz val="28"/>
      <name val="Calibri"/>
      <family val="2"/>
      <scheme val="minor"/>
    </font>
    <font>
      <b/>
      <sz val="20"/>
      <color theme="1"/>
      <name val="Calibri"/>
      <family val="2"/>
      <scheme val="minor"/>
    </font>
    <font>
      <b/>
      <sz val="10"/>
      <color rgb="FFFF0000"/>
      <name val="Calibri"/>
      <family val="2"/>
      <scheme val="minor"/>
    </font>
    <font>
      <i/>
      <sz val="9"/>
      <color theme="1"/>
      <name val="Calibri"/>
      <family val="2"/>
      <scheme val="minor"/>
    </font>
    <font>
      <b/>
      <i/>
      <sz val="9"/>
      <color theme="1"/>
      <name val="Calibri"/>
      <family val="2"/>
      <scheme val="minor"/>
    </font>
    <font>
      <i/>
      <sz val="9"/>
      <name val="Calibri"/>
      <family val="2"/>
      <scheme val="minor"/>
    </font>
    <font>
      <strike/>
      <sz val="11"/>
      <color theme="1"/>
      <name val="Calibri"/>
      <family val="2"/>
      <scheme val="minor"/>
    </font>
    <font>
      <strike/>
      <sz val="11"/>
      <color rgb="FFFF0000"/>
      <name val="Calibri"/>
      <family val="2"/>
      <scheme val="minor"/>
    </font>
    <font>
      <strike/>
      <sz val="11"/>
      <name val="Calibri"/>
      <family val="2"/>
      <scheme val="minor"/>
    </font>
    <font>
      <b/>
      <strike/>
      <sz val="11"/>
      <color theme="1"/>
      <name val="Calibri"/>
      <family val="2"/>
      <scheme val="minor"/>
    </font>
    <font>
      <sz val="11"/>
      <color theme="4" tint="-0.249977111117893"/>
      <name val="Calibri"/>
      <family val="2"/>
      <scheme val="minor"/>
    </font>
    <font>
      <sz val="9"/>
      <color rgb="FFFF0000"/>
      <name val="Calibri"/>
      <family val="2"/>
      <scheme val="minor"/>
    </font>
    <font>
      <i/>
      <sz val="9"/>
      <color rgb="FFFF0000"/>
      <name val="Calibri"/>
      <family val="2"/>
      <scheme val="minor"/>
    </font>
    <font>
      <sz val="8"/>
      <name val="Calibri"/>
      <family val="2"/>
      <scheme val="minor"/>
    </font>
    <font>
      <b/>
      <i/>
      <sz val="11"/>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56">
    <xf numFmtId="0" fontId="0" fillId="0" borderId="0" xfId="0"/>
    <xf numFmtId="0" fontId="0" fillId="2" borderId="0" xfId="0" applyFill="1"/>
    <xf numFmtId="0" fontId="0" fillId="0" borderId="0" xfId="0" applyAlignment="1">
      <alignment horizontal="left"/>
    </xf>
    <xf numFmtId="0" fontId="2" fillId="0" borderId="0" xfId="0" applyFont="1"/>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xf>
    <xf numFmtId="0" fontId="0" fillId="5" borderId="1" xfId="0" applyFill="1" applyBorder="1"/>
    <xf numFmtId="0" fontId="0" fillId="5" borderId="1" xfId="0" applyFill="1" applyBorder="1" applyAlignment="1">
      <alignment horizontal="center" vertical="center"/>
    </xf>
    <xf numFmtId="0" fontId="4" fillId="0" borderId="0" xfId="0" applyFont="1" applyAlignment="1">
      <alignment horizontal="center" vertical="center"/>
    </xf>
    <xf numFmtId="0" fontId="3" fillId="4" borderId="1" xfId="0" applyFont="1" applyFill="1" applyBorder="1" applyAlignment="1">
      <alignment horizontal="center" vertical="center" wrapText="1"/>
    </xf>
    <xf numFmtId="0" fontId="3" fillId="0" borderId="0" xfId="0" applyFont="1" applyAlignment="1">
      <alignment horizontal="left" vertical="center"/>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xf numFmtId="0" fontId="4" fillId="0" borderId="1"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8" xfId="0" applyFont="1" applyBorder="1" applyAlignment="1">
      <alignment horizontal="left" vertical="center"/>
    </xf>
    <xf numFmtId="0" fontId="0" fillId="0" borderId="1" xfId="0" applyBorder="1" applyAlignment="1">
      <alignment horizontal="center" vertical="center"/>
    </xf>
    <xf numFmtId="0" fontId="0" fillId="6" borderId="0" xfId="0" applyFill="1"/>
    <xf numFmtId="164" fontId="0" fillId="0" borderId="0" xfId="0" applyNumberFormat="1"/>
    <xf numFmtId="2" fontId="10" fillId="0" borderId="0" xfId="0" applyNumberFormat="1" applyFont="1" applyAlignment="1">
      <alignment horizontal="center" vertical="center"/>
    </xf>
    <xf numFmtId="0" fontId="0" fillId="7" borderId="0" xfId="0" applyFill="1"/>
    <xf numFmtId="0" fontId="0" fillId="3" borderId="0" xfId="0" applyFill="1"/>
    <xf numFmtId="0" fontId="1" fillId="3" borderId="0" xfId="0" applyFont="1" applyFill="1"/>
    <xf numFmtId="0" fontId="6" fillId="3" borderId="0" xfId="0" applyFont="1" applyFill="1"/>
    <xf numFmtId="3" fontId="0" fillId="3" borderId="0" xfId="0" applyNumberFormat="1" applyFill="1"/>
    <xf numFmtId="0" fontId="11" fillId="3" borderId="0" xfId="0" applyFont="1" applyFill="1"/>
    <xf numFmtId="0" fontId="2" fillId="3" borderId="0" xfId="0" applyFont="1" applyFill="1"/>
    <xf numFmtId="0" fontId="1" fillId="2" borderId="0" xfId="0" applyFont="1" applyFill="1"/>
    <xf numFmtId="11" fontId="0" fillId="0" borderId="0" xfId="0" applyNumberFormat="1"/>
    <xf numFmtId="11" fontId="1" fillId="0" borderId="0" xfId="0" applyNumberFormat="1" applyFont="1"/>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5" xfId="0"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xf>
    <xf numFmtId="0" fontId="3" fillId="0" borderId="0" xfId="0" applyFont="1" applyAlignment="1">
      <alignment vertical="center"/>
    </xf>
    <xf numFmtId="0" fontId="0" fillId="0" borderId="7" xfId="0" applyBorder="1" applyAlignment="1">
      <alignment vertical="center"/>
    </xf>
    <xf numFmtId="11" fontId="3" fillId="0" borderId="0" xfId="0" applyNumberFormat="1" applyFont="1" applyAlignment="1">
      <alignment vertical="center"/>
    </xf>
    <xf numFmtId="11" fontId="3" fillId="0" borderId="12" xfId="0" applyNumberFormat="1" applyFont="1" applyBorder="1" applyAlignment="1">
      <alignment vertical="center"/>
    </xf>
    <xf numFmtId="0" fontId="3" fillId="5" borderId="12" xfId="0" applyFont="1" applyFill="1" applyBorder="1" applyAlignment="1">
      <alignment vertical="center"/>
    </xf>
    <xf numFmtId="0" fontId="3" fillId="5" borderId="0" xfId="0" applyFont="1" applyFill="1" applyAlignment="1">
      <alignment vertical="center"/>
    </xf>
    <xf numFmtId="0" fontId="3" fillId="5" borderId="13" xfId="0" applyFont="1" applyFill="1" applyBorder="1" applyAlignment="1">
      <alignment vertical="center"/>
    </xf>
    <xf numFmtId="0" fontId="3" fillId="5" borderId="8" xfId="0" applyFont="1" applyFill="1" applyBorder="1" applyAlignment="1">
      <alignment vertical="center"/>
    </xf>
    <xf numFmtId="0" fontId="0" fillId="0" borderId="13" xfId="0" applyBorder="1" applyAlignment="1">
      <alignmen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5" borderId="14" xfId="0" applyFont="1" applyFill="1" applyBorder="1" applyAlignment="1">
      <alignment vertical="center"/>
    </xf>
    <xf numFmtId="11" fontId="3" fillId="0" borderId="13" xfId="0" applyNumberFormat="1" applyFont="1" applyBorder="1" applyAlignment="1">
      <alignment vertical="center"/>
    </xf>
    <xf numFmtId="11" fontId="3" fillId="0" borderId="8" xfId="0" applyNumberFormat="1" applyFont="1" applyBorder="1" applyAlignment="1">
      <alignment vertical="center"/>
    </xf>
    <xf numFmtId="11" fontId="0" fillId="0" borderId="0" xfId="0" applyNumberFormat="1" applyAlignment="1">
      <alignment vertical="center"/>
    </xf>
    <xf numFmtId="164" fontId="0" fillId="2" borderId="0" xfId="0" applyNumberFormat="1" applyFill="1"/>
    <xf numFmtId="0" fontId="3" fillId="4" borderId="7" xfId="0" applyFont="1" applyFill="1" applyBorder="1" applyAlignment="1">
      <alignment horizontal="center" vertical="center" wrapText="1"/>
    </xf>
    <xf numFmtId="2" fontId="0" fillId="0" borderId="0" xfId="0" applyNumberFormat="1"/>
    <xf numFmtId="4" fontId="2" fillId="0" borderId="0" xfId="0" applyNumberFormat="1" applyFont="1"/>
    <xf numFmtId="4" fontId="0" fillId="6" borderId="0" xfId="0" applyNumberFormat="1" applyFill="1"/>
    <xf numFmtId="4" fontId="0" fillId="7" borderId="0" xfId="0" applyNumberFormat="1" applyFill="1"/>
    <xf numFmtId="0" fontId="15" fillId="0" borderId="1" xfId="0" applyFont="1" applyBorder="1" applyAlignment="1">
      <alignment horizontal="center" vertical="center"/>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3" fillId="10" borderId="1" xfId="0" applyFont="1" applyFill="1" applyBorder="1" applyAlignment="1">
      <alignment vertical="center" wrapText="1"/>
    </xf>
    <xf numFmtId="0" fontId="15" fillId="10" borderId="1" xfId="0" applyFont="1" applyFill="1" applyBorder="1" applyAlignment="1">
      <alignment horizontal="center" vertical="center"/>
    </xf>
    <xf numFmtId="2" fontId="0" fillId="5" borderId="1" xfId="0" applyNumberFormat="1" applyFill="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1" xfId="1" applyNumberFormat="1" applyFont="1" applyBorder="1" applyAlignment="1">
      <alignment horizontal="center" vertical="center"/>
    </xf>
    <xf numFmtId="165" fontId="0" fillId="0" borderId="0" xfId="0" applyNumberFormat="1" applyAlignment="1">
      <alignment horizontal="center" vertical="center"/>
    </xf>
    <xf numFmtId="0" fontId="4" fillId="0" borderId="1" xfId="0" applyFont="1" applyBorder="1" applyAlignment="1">
      <alignment horizontal="center" vertical="center" wrapText="1"/>
    </xf>
    <xf numFmtId="0" fontId="0" fillId="10" borderId="1" xfId="0" applyFill="1" applyBorder="1" applyAlignment="1">
      <alignment horizontal="center" vertical="center"/>
    </xf>
    <xf numFmtId="0" fontId="15" fillId="10" borderId="1" xfId="0" applyFont="1" applyFill="1" applyBorder="1" applyAlignment="1">
      <alignment horizontal="center" vertical="center" wrapText="1"/>
    </xf>
    <xf numFmtId="0" fontId="3" fillId="10" borderId="2" xfId="0" applyFont="1" applyFill="1" applyBorder="1" applyAlignment="1">
      <alignment vertical="center" wrapText="1"/>
    </xf>
    <xf numFmtId="0" fontId="15"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10" borderId="1" xfId="0" applyFont="1" applyFill="1" applyBorder="1" applyAlignment="1">
      <alignment vertical="center"/>
    </xf>
    <xf numFmtId="0" fontId="16" fillId="10" borderId="1" xfId="0" applyFont="1" applyFill="1" applyBorder="1" applyAlignment="1">
      <alignment horizontal="left" vertical="center" indent="3"/>
    </xf>
    <xf numFmtId="0" fontId="16" fillId="10" borderId="1" xfId="0" applyFont="1" applyFill="1" applyBorder="1" applyAlignment="1">
      <alignment horizontal="center" vertical="center" wrapText="1"/>
    </xf>
    <xf numFmtId="0" fontId="0" fillId="10" borderId="1" xfId="0" applyFill="1" applyBorder="1" applyAlignment="1">
      <alignment horizontal="left" vertical="center" wrapText="1"/>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0" fillId="0" borderId="1" xfId="0" applyNumberFormat="1" applyBorder="1" applyAlignment="1">
      <alignment horizontal="center" vertical="center"/>
    </xf>
    <xf numFmtId="0" fontId="9" fillId="0" borderId="0" xfId="0" applyFont="1" applyAlignment="1">
      <alignment horizontal="center" vertical="center"/>
    </xf>
    <xf numFmtId="0" fontId="2" fillId="7" borderId="1" xfId="0"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6" fillId="0" borderId="0" xfId="0" applyFont="1" applyAlignment="1">
      <alignment vertical="center" wrapText="1"/>
    </xf>
    <xf numFmtId="0" fontId="0" fillId="5" borderId="12" xfId="0" applyFill="1" applyBorder="1" applyAlignment="1">
      <alignment horizontal="left" vertical="center" wrapText="1"/>
    </xf>
    <xf numFmtId="164" fontId="1" fillId="0" borderId="0" xfId="0" applyNumberFormat="1" applyFont="1"/>
    <xf numFmtId="0" fontId="3" fillId="0" borderId="7" xfId="0" applyFont="1" applyBorder="1" applyAlignment="1">
      <alignment horizontal="center" vertical="center"/>
    </xf>
    <xf numFmtId="0" fontId="1" fillId="0" borderId="0" xfId="0" applyFont="1" applyAlignment="1">
      <alignment vertical="center"/>
    </xf>
    <xf numFmtId="0" fontId="1" fillId="0" borderId="7" xfId="0" applyFont="1" applyBorder="1" applyAlignment="1">
      <alignment horizontal="center" vertical="center"/>
    </xf>
    <xf numFmtId="0" fontId="1" fillId="0" borderId="7" xfId="0" applyFont="1" applyBorder="1" applyAlignment="1">
      <alignment vertical="center"/>
    </xf>
    <xf numFmtId="0" fontId="1" fillId="5" borderId="0" xfId="0" applyFont="1" applyFill="1" applyAlignment="1">
      <alignment vertical="center"/>
    </xf>
    <xf numFmtId="0" fontId="3" fillId="5" borderId="7" xfId="0" applyFont="1" applyFill="1" applyBorder="1" applyAlignment="1">
      <alignment horizontal="left" vertical="center"/>
    </xf>
    <xf numFmtId="0" fontId="1" fillId="5" borderId="8" xfId="0" applyFont="1" applyFill="1" applyBorder="1" applyAlignment="1">
      <alignment vertical="center"/>
    </xf>
    <xf numFmtId="0" fontId="3" fillId="5" borderId="6" xfId="0" applyFont="1" applyFill="1" applyBorder="1" applyAlignment="1">
      <alignment horizontal="lef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3" fillId="0" borderId="0" xfId="0" applyFont="1"/>
    <xf numFmtId="11" fontId="3" fillId="0" borderId="0" xfId="0" applyNumberFormat="1" applyFont="1"/>
    <xf numFmtId="0" fontId="1" fillId="0" borderId="14" xfId="0" applyFont="1" applyBorder="1" applyAlignment="1">
      <alignment vertical="center"/>
    </xf>
    <xf numFmtId="0" fontId="1" fillId="0" borderId="15" xfId="0" applyFont="1" applyBorder="1" applyAlignment="1">
      <alignment vertical="center"/>
    </xf>
    <xf numFmtId="0" fontId="0" fillId="0" borderId="12" xfId="0" applyBorder="1" applyAlignment="1">
      <alignment vertical="center"/>
    </xf>
    <xf numFmtId="11" fontId="0" fillId="0" borderId="13" xfId="0" applyNumberFormat="1" applyBorder="1" applyAlignment="1">
      <alignment vertical="center"/>
    </xf>
    <xf numFmtId="11" fontId="3" fillId="5" borderId="0" xfId="0" applyNumberFormat="1" applyFont="1" applyFill="1" applyAlignment="1">
      <alignment vertical="center"/>
    </xf>
    <xf numFmtId="11" fontId="3" fillId="5" borderId="12" xfId="0" applyNumberFormat="1" applyFont="1" applyFill="1" applyBorder="1" applyAlignment="1">
      <alignment vertical="center"/>
    </xf>
    <xf numFmtId="0" fontId="0" fillId="0" borderId="13" xfId="0" applyBorder="1" applyAlignment="1">
      <alignment vertical="center"/>
    </xf>
    <xf numFmtId="0" fontId="3" fillId="2" borderId="0" xfId="0" applyFont="1" applyFill="1"/>
    <xf numFmtId="11" fontId="3" fillId="2" borderId="0" xfId="0" applyNumberFormat="1" applyFont="1" applyFill="1"/>
    <xf numFmtId="0" fontId="3" fillId="3" borderId="0" xfId="0" applyFont="1" applyFill="1"/>
    <xf numFmtId="2" fontId="1" fillId="0" borderId="0" xfId="0" applyNumberFormat="1" applyFont="1"/>
    <xf numFmtId="2" fontId="6" fillId="0" borderId="0" xfId="0" applyNumberFormat="1" applyFont="1"/>
    <xf numFmtId="0" fontId="0" fillId="0" borderId="14" xfId="0" applyBorder="1" applyAlignment="1">
      <alignment vertical="center"/>
    </xf>
    <xf numFmtId="0" fontId="11" fillId="0" borderId="0" xfId="0" applyFont="1"/>
    <xf numFmtId="0" fontId="27" fillId="0" borderId="0" xfId="0" applyFont="1"/>
    <xf numFmtId="11" fontId="27" fillId="0" borderId="0" xfId="0" applyNumberFormat="1" applyFont="1"/>
    <xf numFmtId="0" fontId="30" fillId="0" borderId="10" xfId="0" applyFont="1" applyBorder="1" applyAlignment="1">
      <alignment vertical="center" wrapText="1"/>
    </xf>
    <xf numFmtId="0" fontId="28" fillId="0" borderId="10" xfId="0" applyFont="1" applyBorder="1" applyAlignment="1">
      <alignment vertical="center"/>
    </xf>
    <xf numFmtId="0" fontId="28" fillId="0" borderId="9" xfId="0" applyFont="1" applyBorder="1" applyAlignment="1">
      <alignment vertical="center"/>
    </xf>
    <xf numFmtId="0" fontId="28" fillId="0" borderId="11" xfId="0" applyFont="1" applyBorder="1" applyAlignment="1">
      <alignment vertical="center"/>
    </xf>
    <xf numFmtId="0" fontId="27" fillId="0" borderId="12" xfId="0" applyFont="1" applyBorder="1" applyAlignment="1">
      <alignment vertical="center" wrapText="1"/>
    </xf>
    <xf numFmtId="0" fontId="27" fillId="0" borderId="12" xfId="0" applyFont="1" applyBorder="1" applyAlignment="1">
      <alignment vertical="center"/>
    </xf>
    <xf numFmtId="11" fontId="27" fillId="0" borderId="0" xfId="0" applyNumberFormat="1" applyFont="1" applyAlignment="1">
      <alignment vertical="center"/>
    </xf>
    <xf numFmtId="0" fontId="29" fillId="0" borderId="7" xfId="0" applyFont="1" applyBorder="1" applyAlignment="1">
      <alignment horizontal="center" vertical="center"/>
    </xf>
    <xf numFmtId="0" fontId="27" fillId="0" borderId="13" xfId="0" applyFont="1" applyBorder="1" applyAlignment="1">
      <alignment vertical="center" wrapText="1"/>
    </xf>
    <xf numFmtId="0" fontId="27" fillId="0" borderId="13" xfId="0" applyFont="1" applyBorder="1" applyAlignment="1">
      <alignment vertical="center"/>
    </xf>
    <xf numFmtId="0" fontId="28" fillId="0" borderId="15"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xf>
    <xf numFmtId="11" fontId="31" fillId="0" borderId="0" xfId="0" applyNumberFormat="1" applyFont="1"/>
    <xf numFmtId="0" fontId="2" fillId="7" borderId="6" xfId="0" applyFont="1" applyFill="1" applyBorder="1" applyAlignment="1">
      <alignment horizontal="center" vertical="center"/>
    </xf>
    <xf numFmtId="0" fontId="4" fillId="10"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165" fontId="2" fillId="0" borderId="1" xfId="0" applyNumberFormat="1" applyFont="1" applyBorder="1" applyAlignment="1">
      <alignment horizontal="center" vertical="center"/>
    </xf>
    <xf numFmtId="0" fontId="3" fillId="10" borderId="0" xfId="0" applyFont="1" applyFill="1" applyAlignment="1">
      <alignment vertical="center" wrapText="1"/>
    </xf>
    <xf numFmtId="0" fontId="4" fillId="10" borderId="6" xfId="0" applyFont="1" applyFill="1" applyBorder="1" applyAlignment="1">
      <alignment horizontal="center" vertical="center" wrapText="1"/>
    </xf>
    <xf numFmtId="2" fontId="15" fillId="8" borderId="2" xfId="0" applyNumberFormat="1" applyFont="1" applyFill="1" applyBorder="1" applyAlignment="1">
      <alignment horizontal="center" vertical="center"/>
    </xf>
    <xf numFmtId="14" fontId="0" fillId="10" borderId="1" xfId="0" applyNumberFormat="1" applyFill="1" applyBorder="1" applyAlignment="1">
      <alignment horizontal="center" vertical="center"/>
    </xf>
    <xf numFmtId="2" fontId="0" fillId="2" borderId="0" xfId="0" applyNumberFormat="1" applyFill="1"/>
    <xf numFmtId="0" fontId="11" fillId="3" borderId="2" xfId="0" applyFont="1" applyFill="1" applyBorder="1" applyAlignment="1">
      <alignment horizontal="center" vertical="center" wrapText="1"/>
    </xf>
    <xf numFmtId="0" fontId="0" fillId="0" borderId="5" xfId="0" applyBorder="1" applyAlignment="1">
      <alignment vertical="center" wrapText="1"/>
    </xf>
    <xf numFmtId="165" fontId="0" fillId="0" borderId="4" xfId="0" applyNumberFormat="1" applyBorder="1" applyAlignment="1">
      <alignment horizontal="center" vertical="center"/>
    </xf>
    <xf numFmtId="0" fontId="0" fillId="0" borderId="7" xfId="0" applyBorder="1" applyAlignment="1">
      <alignment vertical="center" wrapText="1"/>
    </xf>
    <xf numFmtId="0" fontId="0" fillId="0" borderId="6" xfId="0" applyBorder="1" applyAlignment="1">
      <alignment vertical="center" wrapText="1"/>
    </xf>
    <xf numFmtId="0" fontId="2" fillId="7" borderId="7" xfId="0" applyFont="1" applyFill="1" applyBorder="1" applyAlignment="1">
      <alignment horizontal="center" vertical="center"/>
    </xf>
    <xf numFmtId="49" fontId="0" fillId="10" borderId="12" xfId="0" applyNumberFormat="1" applyFill="1" applyBorder="1" applyAlignment="1">
      <alignment horizontal="center" vertical="center"/>
    </xf>
    <xf numFmtId="0" fontId="28" fillId="0" borderId="14" xfId="0" applyFont="1" applyBorder="1" applyAlignment="1">
      <alignment vertical="center"/>
    </xf>
    <xf numFmtId="0" fontId="3" fillId="0" borderId="14" xfId="0" applyFont="1" applyBorder="1" applyAlignment="1">
      <alignment vertical="center"/>
    </xf>
    <xf numFmtId="0" fontId="0" fillId="0" borderId="15" xfId="0" applyBorder="1" applyAlignment="1">
      <alignment vertical="center"/>
    </xf>
    <xf numFmtId="0" fontId="27" fillId="0" borderId="10" xfId="0" applyFont="1" applyBorder="1" applyAlignment="1">
      <alignment vertical="center"/>
    </xf>
    <xf numFmtId="11" fontId="27" fillId="0" borderId="9" xfId="0" applyNumberFormat="1" applyFont="1" applyBorder="1" applyAlignment="1">
      <alignment vertical="center"/>
    </xf>
    <xf numFmtId="11" fontId="27" fillId="0" borderId="8" xfId="0" applyNumberFormat="1" applyFont="1" applyBorder="1" applyAlignment="1">
      <alignment vertical="center"/>
    </xf>
    <xf numFmtId="0" fontId="0" fillId="0" borderId="1" xfId="0" applyBorder="1" applyAlignment="1">
      <alignment vertical="center" wrapText="1"/>
    </xf>
    <xf numFmtId="2" fontId="2" fillId="0" borderId="0" xfId="0" applyNumberFormat="1" applyFont="1"/>
    <xf numFmtId="4" fontId="0" fillId="6" borderId="0" xfId="0" applyNumberFormat="1" applyFill="1" applyAlignment="1">
      <alignment horizontal="right"/>
    </xf>
    <xf numFmtId="0" fontId="0" fillId="7" borderId="0" xfId="0" applyFill="1" applyAlignment="1">
      <alignment horizontal="right"/>
    </xf>
    <xf numFmtId="0" fontId="2" fillId="0" borderId="0" xfId="0" applyFont="1" applyAlignment="1">
      <alignment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3" fillId="10" borderId="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6" fillId="0" borderId="1" xfId="0" applyFont="1" applyBorder="1" applyAlignment="1">
      <alignment horizontal="left"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2" fontId="21" fillId="0" borderId="5"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6" xfId="0" applyNumberFormat="1" applyFont="1" applyBorder="1" applyAlignment="1">
      <alignment horizontal="center" vertical="center"/>
    </xf>
    <xf numFmtId="0" fontId="23" fillId="10" borderId="1" xfId="0"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10" borderId="1" xfId="0" applyFont="1" applyFill="1" applyBorder="1" applyAlignment="1">
      <alignment horizontal="center" vertical="center" wrapText="1"/>
    </xf>
    <xf numFmtId="9" fontId="3" fillId="10" borderId="2" xfId="2" applyFont="1" applyFill="1" applyBorder="1" applyAlignment="1" applyProtection="1">
      <alignment horizontal="center" vertical="center" wrapText="1"/>
      <protection locked="0"/>
    </xf>
    <xf numFmtId="9" fontId="3" fillId="10" borderId="3" xfId="2" applyFont="1" applyFill="1" applyBorder="1" applyAlignment="1" applyProtection="1">
      <alignment horizontal="center" vertical="center" wrapText="1"/>
      <protection locked="0"/>
    </xf>
    <xf numFmtId="9" fontId="3" fillId="10" borderId="4" xfId="2" applyFont="1" applyFill="1" applyBorder="1" applyAlignment="1" applyProtection="1">
      <alignment horizontal="center" vertical="center" wrapText="1"/>
      <protection locked="0"/>
    </xf>
    <xf numFmtId="0" fontId="8" fillId="7" borderId="1"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7"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4" fillId="0" borderId="7" xfId="0" applyFont="1" applyBorder="1" applyAlignment="1">
      <alignment horizontal="center" vertical="center"/>
    </xf>
    <xf numFmtId="0" fontId="15" fillId="7" borderId="1"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4" fillId="10" borderId="1" xfId="0" applyFont="1" applyFill="1" applyBorder="1" applyAlignment="1">
      <alignment horizontal="center" vertical="center" wrapText="1"/>
    </xf>
    <xf numFmtId="2" fontId="20" fillId="9" borderId="1"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4" fillId="0" borderId="9" xfId="0" applyFont="1" applyBorder="1" applyAlignment="1">
      <alignment horizontal="left" vertical="center" wrapText="1"/>
    </xf>
    <xf numFmtId="0" fontId="24" fillId="0" borderId="0" xfId="0" applyFont="1" applyAlignment="1">
      <alignment horizontal="left" vertical="center" wrapText="1"/>
    </xf>
    <xf numFmtId="2" fontId="17" fillId="9"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0" fontId="15" fillId="7" borderId="5" xfId="0" applyFont="1" applyFill="1" applyBorder="1" applyAlignment="1" applyProtection="1">
      <alignment horizontal="center" vertical="center" wrapText="1"/>
      <protection locked="0"/>
    </xf>
    <xf numFmtId="0" fontId="15" fillId="7" borderId="7"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3" fillId="7" borderId="13"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6" xfId="0" applyFont="1" applyFill="1" applyBorder="1" applyAlignment="1">
      <alignment horizontal="center" vertical="center" wrapText="1"/>
    </xf>
    <xf numFmtId="2" fontId="15" fillId="9" borderId="1" xfId="0" applyNumberFormat="1" applyFont="1" applyFill="1" applyBorder="1" applyAlignment="1">
      <alignment horizontal="center" vertical="center"/>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165" fontId="22" fillId="0" borderId="5" xfId="1" applyNumberFormat="1" applyFont="1" applyBorder="1" applyAlignment="1">
      <alignment horizontal="center" vertical="center"/>
    </xf>
    <xf numFmtId="165" fontId="22" fillId="0" borderId="7" xfId="1" applyNumberFormat="1" applyFont="1" applyBorder="1" applyAlignment="1">
      <alignment horizontal="center" vertical="center"/>
    </xf>
    <xf numFmtId="165" fontId="22" fillId="0" borderId="6" xfId="1"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165" fontId="2" fillId="0" borderId="5"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8"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0" borderId="0" xfId="0" applyAlignment="1">
      <alignment horizontal="left" vertical="center" wrapText="1"/>
    </xf>
    <xf numFmtId="11" fontId="31" fillId="0" borderId="2" xfId="0" applyNumberFormat="1" applyFont="1" applyBorder="1" applyAlignment="1">
      <alignment horizontal="center" vertical="center"/>
    </xf>
    <xf numFmtId="11" fontId="31" fillId="0" borderId="3" xfId="0" applyNumberFormat="1" applyFont="1" applyBorder="1" applyAlignment="1">
      <alignment horizontal="center" vertical="center"/>
    </xf>
    <xf numFmtId="11" fontId="31" fillId="0" borderId="4" xfId="0" applyNumberFormat="1" applyFont="1" applyBorder="1" applyAlignment="1">
      <alignment horizontal="center" vertical="center"/>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opLeftCell="A4" zoomScale="80" zoomScaleNormal="80" workbookViewId="0">
      <selection activeCell="D22" sqref="D22:F22"/>
    </sheetView>
  </sheetViews>
  <sheetFormatPr defaultColWidth="15" defaultRowHeight="24" customHeight="1" x14ac:dyDescent="0.3"/>
  <cols>
    <col min="1" max="1" width="10.33203125" style="11" customWidth="1"/>
    <col min="2" max="3" width="49.33203125" style="2" customWidth="1"/>
    <col min="4" max="6" width="16.44140625" customWidth="1"/>
    <col min="7" max="7" width="23" customWidth="1"/>
    <col min="20" max="20" width="0" hidden="1" customWidth="1"/>
  </cols>
  <sheetData>
    <row r="1" spans="1:20" ht="21.75" customHeight="1" x14ac:dyDescent="0.3">
      <c r="A1" s="194" t="s">
        <v>55</v>
      </c>
      <c r="B1" s="194"/>
      <c r="C1" s="194"/>
      <c r="D1" s="194"/>
      <c r="E1" s="194"/>
      <c r="F1" s="194"/>
      <c r="G1" s="194"/>
    </row>
    <row r="2" spans="1:20" ht="38.25" customHeight="1" x14ac:dyDescent="0.3">
      <c r="A2" s="194"/>
      <c r="B2" s="194"/>
      <c r="C2" s="194"/>
      <c r="D2" s="204" t="s">
        <v>115</v>
      </c>
      <c r="E2" s="204"/>
      <c r="F2" s="204"/>
      <c r="G2" s="81" t="s">
        <v>99</v>
      </c>
    </row>
    <row r="3" spans="1:20" ht="30" customHeight="1" x14ac:dyDescent="0.3">
      <c r="A3" s="77">
        <v>1</v>
      </c>
      <c r="B3" s="199" t="s">
        <v>203</v>
      </c>
      <c r="C3" s="199"/>
      <c r="D3" s="198">
        <v>3</v>
      </c>
      <c r="E3" s="198"/>
      <c r="F3" s="198"/>
      <c r="G3" s="182">
        <f>SUM('INDICI-PUNTEGGI'!C21:C23)</f>
        <v>24.885729519833827</v>
      </c>
    </row>
    <row r="4" spans="1:20" ht="30" customHeight="1" x14ac:dyDescent="0.3">
      <c r="A4" s="77">
        <v>2</v>
      </c>
      <c r="B4" s="173" t="s">
        <v>116</v>
      </c>
      <c r="C4" s="174"/>
      <c r="D4" s="198">
        <v>3</v>
      </c>
      <c r="E4" s="198"/>
      <c r="F4" s="198"/>
      <c r="G4" s="183"/>
    </row>
    <row r="5" spans="1:20" ht="30" customHeight="1" x14ac:dyDescent="0.3">
      <c r="A5" s="77">
        <v>3</v>
      </c>
      <c r="B5" s="173" t="s">
        <v>140</v>
      </c>
      <c r="C5" s="174"/>
      <c r="D5" s="175">
        <v>0</v>
      </c>
      <c r="E5" s="176"/>
      <c r="F5" s="177"/>
      <c r="G5" s="183"/>
    </row>
    <row r="6" spans="1:20" ht="30" customHeight="1" x14ac:dyDescent="0.3">
      <c r="A6" s="77">
        <v>4</v>
      </c>
      <c r="B6" s="173" t="s">
        <v>142</v>
      </c>
      <c r="C6" s="174"/>
      <c r="D6" s="175">
        <v>3</v>
      </c>
      <c r="E6" s="176"/>
      <c r="F6" s="177"/>
      <c r="G6" s="183"/>
    </row>
    <row r="7" spans="1:20" ht="24" customHeight="1" x14ac:dyDescent="0.3">
      <c r="A7" s="179"/>
      <c r="B7" s="180"/>
      <c r="C7" s="181"/>
      <c r="D7" s="170" t="str">
        <f>IF(SUM(D5:F6)&lt;=D4,"","Numero di gare NON COERENTE con il dato indicato al punto 2 - VERIFICARE")</f>
        <v/>
      </c>
      <c r="E7" s="171"/>
      <c r="F7" s="172"/>
      <c r="G7" s="183"/>
    </row>
    <row r="8" spans="1:20" ht="27" customHeight="1" x14ac:dyDescent="0.3">
      <c r="A8" s="188">
        <v>5</v>
      </c>
      <c r="B8" s="200" t="s">
        <v>117</v>
      </c>
      <c r="C8" s="201"/>
      <c r="D8" s="201"/>
      <c r="E8" s="201"/>
      <c r="F8" s="202"/>
      <c r="G8" s="183"/>
    </row>
    <row r="9" spans="1:20" ht="17.25" customHeight="1" x14ac:dyDescent="0.3">
      <c r="A9" s="203"/>
      <c r="B9" s="195" t="s">
        <v>109</v>
      </c>
      <c r="C9" s="195" t="s">
        <v>110</v>
      </c>
      <c r="D9" s="197" t="s">
        <v>113</v>
      </c>
      <c r="E9" s="197"/>
      <c r="F9" s="197"/>
      <c r="G9" s="183"/>
    </row>
    <row r="10" spans="1:20" ht="55.5" customHeight="1" x14ac:dyDescent="0.3">
      <c r="A10" s="203"/>
      <c r="B10" s="196"/>
      <c r="C10" s="196"/>
      <c r="D10" s="82" t="s">
        <v>199</v>
      </c>
      <c r="E10" s="82" t="s">
        <v>153</v>
      </c>
      <c r="F10" s="82" t="s">
        <v>154</v>
      </c>
      <c r="G10" s="183"/>
    </row>
    <row r="11" spans="1:20" ht="18" customHeight="1" x14ac:dyDescent="0.3">
      <c r="A11" s="203"/>
      <c r="B11" s="78" t="s">
        <v>105</v>
      </c>
      <c r="C11" s="78" t="s">
        <v>103</v>
      </c>
      <c r="D11" s="69">
        <v>3</v>
      </c>
      <c r="E11" s="69"/>
      <c r="F11" s="69"/>
      <c r="G11" s="183"/>
    </row>
    <row r="12" spans="1:20" ht="18" customHeight="1" x14ac:dyDescent="0.3">
      <c r="A12" s="203"/>
      <c r="B12" s="78" t="s">
        <v>105</v>
      </c>
      <c r="C12" s="78" t="s">
        <v>104</v>
      </c>
      <c r="D12" s="69"/>
      <c r="E12" s="69"/>
      <c r="F12" s="69"/>
      <c r="G12" s="183"/>
    </row>
    <row r="13" spans="1:20" ht="18" customHeight="1" x14ac:dyDescent="0.3">
      <c r="A13" s="203"/>
      <c r="B13" s="78" t="s">
        <v>106</v>
      </c>
      <c r="C13" s="78" t="s">
        <v>103</v>
      </c>
      <c r="D13" s="69"/>
      <c r="E13" s="69"/>
      <c r="F13" s="69"/>
      <c r="G13" s="183"/>
    </row>
    <row r="14" spans="1:20" ht="18" customHeight="1" x14ac:dyDescent="0.3">
      <c r="A14" s="203"/>
      <c r="B14" s="78" t="s">
        <v>106</v>
      </c>
      <c r="C14" s="78" t="s">
        <v>104</v>
      </c>
      <c r="D14" s="69"/>
      <c r="E14" s="69"/>
      <c r="F14" s="69"/>
      <c r="G14" s="183"/>
    </row>
    <row r="15" spans="1:20" ht="18" customHeight="1" x14ac:dyDescent="0.3">
      <c r="A15" s="203"/>
      <c r="B15" s="78" t="s">
        <v>107</v>
      </c>
      <c r="C15" s="78" t="s">
        <v>103</v>
      </c>
      <c r="D15" s="69"/>
      <c r="E15" s="69"/>
      <c r="F15" s="69"/>
      <c r="G15" s="183"/>
    </row>
    <row r="16" spans="1:20" ht="18" customHeight="1" x14ac:dyDescent="0.3">
      <c r="A16" s="203"/>
      <c r="B16" s="78" t="s">
        <v>107</v>
      </c>
      <c r="C16" s="78" t="s">
        <v>104</v>
      </c>
      <c r="D16" s="69"/>
      <c r="E16" s="69"/>
      <c r="F16" s="69"/>
      <c r="G16" s="183"/>
      <c r="T16" s="16" t="s">
        <v>157</v>
      </c>
    </row>
    <row r="17" spans="1:20" ht="18" customHeight="1" x14ac:dyDescent="0.3">
      <c r="A17" s="203"/>
      <c r="B17" s="78" t="s">
        <v>108</v>
      </c>
      <c r="C17" s="78" t="s">
        <v>103</v>
      </c>
      <c r="D17" s="69"/>
      <c r="E17" s="69"/>
      <c r="F17" s="69"/>
      <c r="G17" s="183"/>
      <c r="T17" s="16" t="s">
        <v>159</v>
      </c>
    </row>
    <row r="18" spans="1:20" ht="18" customHeight="1" x14ac:dyDescent="0.3">
      <c r="A18" s="189"/>
      <c r="B18" s="78" t="s">
        <v>108</v>
      </c>
      <c r="C18" s="78" t="s">
        <v>104</v>
      </c>
      <c r="D18" s="69"/>
      <c r="E18" s="69"/>
      <c r="F18" s="69"/>
      <c r="G18" s="183"/>
    </row>
    <row r="19" spans="1:20" ht="21.75" customHeight="1" x14ac:dyDescent="0.3">
      <c r="A19" s="179"/>
      <c r="B19" s="180"/>
      <c r="C19" s="181"/>
      <c r="D19" s="170" t="str">
        <f>IF(SUM(D11:F18)=D6,"","Numero gare NON COERENTE con il dato indicato al punto 4 - VERIFICARE")</f>
        <v/>
      </c>
      <c r="E19" s="171"/>
      <c r="F19" s="172"/>
      <c r="G19" s="183"/>
    </row>
    <row r="20" spans="1:20" ht="22.5" customHeight="1" x14ac:dyDescent="0.3">
      <c r="A20" s="188">
        <v>6</v>
      </c>
      <c r="B20" s="186"/>
      <c r="C20" s="187"/>
      <c r="D20" s="185"/>
      <c r="E20" s="185"/>
      <c r="F20" s="185"/>
      <c r="G20" s="183"/>
    </row>
    <row r="21" spans="1:20" ht="32.1" customHeight="1" x14ac:dyDescent="0.3">
      <c r="A21" s="189"/>
      <c r="B21" s="190" t="s">
        <v>112</v>
      </c>
      <c r="C21" s="190"/>
      <c r="D21" s="191">
        <v>0.45</v>
      </c>
      <c r="E21" s="192"/>
      <c r="F21" s="193"/>
      <c r="G21" s="184"/>
    </row>
    <row r="22" spans="1:20" ht="22.5" customHeight="1" x14ac:dyDescent="0.3">
      <c r="A22" s="188" t="s">
        <v>155</v>
      </c>
      <c r="B22" s="186" t="s">
        <v>156</v>
      </c>
      <c r="C22" s="187"/>
      <c r="D22" s="205" t="s">
        <v>159</v>
      </c>
      <c r="E22" s="206"/>
      <c r="F22" s="207"/>
      <c r="G22" s="182"/>
    </row>
    <row r="23" spans="1:20" ht="32.1" customHeight="1" x14ac:dyDescent="0.3">
      <c r="A23" s="189"/>
      <c r="B23" s="208" t="s">
        <v>158</v>
      </c>
      <c r="C23" s="208"/>
      <c r="D23" s="205">
        <v>10</v>
      </c>
      <c r="E23" s="206"/>
      <c r="F23" s="207"/>
      <c r="G23" s="184"/>
    </row>
    <row r="24" spans="1:20" ht="21" customHeight="1" x14ac:dyDescent="0.3">
      <c r="A24" s="178">
        <v>0</v>
      </c>
      <c r="B24" s="178"/>
      <c r="C24" s="178"/>
      <c r="D24" s="178"/>
      <c r="E24" s="178"/>
      <c r="F24" s="178"/>
      <c r="G24" s="178"/>
    </row>
    <row r="25" spans="1:20" ht="21" customHeight="1" x14ac:dyDescent="0.3">
      <c r="A25" s="178" t="s">
        <v>114</v>
      </c>
      <c r="B25" s="178"/>
      <c r="C25" s="178"/>
      <c r="D25" s="178"/>
      <c r="E25" s="178"/>
      <c r="F25" s="178"/>
      <c r="G25" s="178"/>
    </row>
  </sheetData>
  <sheetProtection algorithmName="SHA-512" hashValue="gsjqXfa81o3VxP10yUo2uT7qJNBeT5HjwlyDyGxRrf17rcsNS8YqjNnpqy0bQ2O4hBH9km2CXFeZHxqjmYT+4A==" saltValue="wihdZczCvmoYPn3LQZk4IQ==" spinCount="100000" sheet="1" objects="1" scenarios="1" formatCells="0"/>
  <protectedRanges>
    <protectedRange sqref="D11:F18" name="Intervallo1"/>
    <protectedRange sqref="D3:F6" name="Intervallo2"/>
  </protectedRanges>
  <mergeCells count="34">
    <mergeCell ref="B22:C22"/>
    <mergeCell ref="D22:F22"/>
    <mergeCell ref="G22:G23"/>
    <mergeCell ref="B23:C23"/>
    <mergeCell ref="D23:F23"/>
    <mergeCell ref="A1:G1"/>
    <mergeCell ref="B9:B10"/>
    <mergeCell ref="C9:C10"/>
    <mergeCell ref="D9:F9"/>
    <mergeCell ref="B4:C4"/>
    <mergeCell ref="D4:F4"/>
    <mergeCell ref="A2:C2"/>
    <mergeCell ref="B3:C3"/>
    <mergeCell ref="B8:F8"/>
    <mergeCell ref="A8:A18"/>
    <mergeCell ref="D2:F2"/>
    <mergeCell ref="D3:F3"/>
    <mergeCell ref="D5:F5"/>
    <mergeCell ref="D19:F19"/>
    <mergeCell ref="B6:C6"/>
    <mergeCell ref="D6:F6"/>
    <mergeCell ref="A25:G25"/>
    <mergeCell ref="A7:C7"/>
    <mergeCell ref="D7:F7"/>
    <mergeCell ref="A19:C19"/>
    <mergeCell ref="G3:G21"/>
    <mergeCell ref="B5:C5"/>
    <mergeCell ref="D20:F20"/>
    <mergeCell ref="B20:C20"/>
    <mergeCell ref="A20:A21"/>
    <mergeCell ref="A24:G24"/>
    <mergeCell ref="B21:C21"/>
    <mergeCell ref="D21:F21"/>
    <mergeCell ref="A22:A23"/>
  </mergeCells>
  <dataValidations count="1">
    <dataValidation type="list" allowBlank="1" showInputMessage="1" showErrorMessage="1" sqref="D22:F22" xr:uid="{00000000-0002-0000-0000-000000000000}">
      <formula1>$T$16:$T$17</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2:L31"/>
  <sheetViews>
    <sheetView zoomScale="80" zoomScaleNormal="80" workbookViewId="0">
      <selection activeCell="C23" sqref="C23"/>
    </sheetView>
  </sheetViews>
  <sheetFormatPr defaultRowHeight="14.4" x14ac:dyDescent="0.3"/>
  <cols>
    <col min="1" max="1" width="39.6640625" customWidth="1"/>
    <col min="2" max="2" width="15.109375" customWidth="1"/>
    <col min="3" max="4" width="13.6640625" bestFit="1" customWidth="1"/>
    <col min="6" max="8" width="11.88671875" customWidth="1"/>
    <col min="9" max="9" width="12" customWidth="1"/>
    <col min="10" max="12" width="10.5546875" bestFit="1" customWidth="1"/>
  </cols>
  <sheetData>
    <row r="2" spans="1:6" x14ac:dyDescent="0.3">
      <c r="A2" t="s">
        <v>80</v>
      </c>
      <c r="B2" s="25">
        <v>66.176810000000003</v>
      </c>
      <c r="C2" s="96">
        <v>72.589460000000003</v>
      </c>
      <c r="D2" s="25"/>
      <c r="E2" s="25"/>
      <c r="F2" s="25"/>
    </row>
    <row r="3" spans="1:6" x14ac:dyDescent="0.3">
      <c r="A3" t="s">
        <v>81</v>
      </c>
      <c r="B3" s="61">
        <v>66.41095</v>
      </c>
      <c r="C3" s="4">
        <v>136.43552</v>
      </c>
      <c r="D3" s="25"/>
      <c r="E3" s="25"/>
      <c r="F3" s="25"/>
    </row>
    <row r="4" spans="1:6" x14ac:dyDescent="0.3">
      <c r="A4" t="s">
        <v>82</v>
      </c>
      <c r="B4" s="61">
        <v>81.06626</v>
      </c>
      <c r="C4" s="4">
        <v>65.064080000000004</v>
      </c>
      <c r="D4" s="25"/>
      <c r="E4" s="25"/>
      <c r="F4" s="25"/>
    </row>
    <row r="5" spans="1:6" x14ac:dyDescent="0.3">
      <c r="A5" t="s">
        <v>83</v>
      </c>
      <c r="B5" s="61">
        <v>57.68788</v>
      </c>
      <c r="C5" s="4">
        <v>76.924270000000007</v>
      </c>
      <c r="E5" s="25"/>
      <c r="F5" s="25"/>
    </row>
    <row r="6" spans="1:6" x14ac:dyDescent="0.3">
      <c r="A6" t="s">
        <v>84</v>
      </c>
      <c r="B6" s="61">
        <v>63.776269999999997</v>
      </c>
      <c r="C6" s="4">
        <v>56.544800000000002</v>
      </c>
      <c r="D6" s="25"/>
      <c r="E6" s="25"/>
      <c r="F6" s="25"/>
    </row>
    <row r="7" spans="1:6" x14ac:dyDescent="0.3">
      <c r="A7" t="s">
        <v>85</v>
      </c>
      <c r="B7" s="61">
        <v>8.0964299999999998</v>
      </c>
      <c r="C7" s="4">
        <v>-13.346909999999999</v>
      </c>
      <c r="D7" s="25"/>
      <c r="E7" s="25"/>
      <c r="F7" s="25"/>
    </row>
    <row r="8" spans="1:6" x14ac:dyDescent="0.3">
      <c r="A8" t="s">
        <v>86</v>
      </c>
      <c r="B8" s="25">
        <v>100.80392000000001</v>
      </c>
      <c r="C8" s="96">
        <v>17.023499999999999</v>
      </c>
      <c r="D8" s="25"/>
      <c r="E8" s="25"/>
    </row>
    <row r="9" spans="1:6" x14ac:dyDescent="0.3">
      <c r="A9" t="s">
        <v>87</v>
      </c>
      <c r="B9" s="25">
        <v>29.4651</v>
      </c>
      <c r="C9" s="96">
        <v>3.5540500000000002</v>
      </c>
      <c r="D9" s="25"/>
      <c r="E9" s="25"/>
    </row>
    <row r="10" spans="1:6" x14ac:dyDescent="0.3">
      <c r="B10" s="25"/>
      <c r="C10" s="25"/>
      <c r="D10" s="25"/>
      <c r="E10" s="25"/>
      <c r="F10" s="25"/>
    </row>
    <row r="12" spans="1:6" x14ac:dyDescent="0.3">
      <c r="A12" t="s">
        <v>88</v>
      </c>
      <c r="B12" s="4" t="s">
        <v>205</v>
      </c>
      <c r="D12" s="25">
        <v>66.41095</v>
      </c>
      <c r="E12" s="4">
        <v>136.43552</v>
      </c>
    </row>
    <row r="13" spans="1:6" x14ac:dyDescent="0.3">
      <c r="A13" s="4" t="s">
        <v>206</v>
      </c>
      <c r="B13" s="25">
        <v>66.176810000000003</v>
      </c>
      <c r="C13" s="96">
        <v>72.589460000000003</v>
      </c>
    </row>
    <row r="14" spans="1:6" x14ac:dyDescent="0.3">
      <c r="A14" s="4" t="s">
        <v>207</v>
      </c>
      <c r="B14" s="25">
        <v>81.06626</v>
      </c>
      <c r="C14" s="4">
        <v>65.064080000000004</v>
      </c>
    </row>
    <row r="15" spans="1:6" x14ac:dyDescent="0.3">
      <c r="A15" t="s">
        <v>89</v>
      </c>
      <c r="C15" t="s">
        <v>208</v>
      </c>
      <c r="D15" s="25">
        <v>66.176810000000003</v>
      </c>
      <c r="E15" s="96">
        <v>72.589460000000003</v>
      </c>
    </row>
    <row r="17" spans="1:12" x14ac:dyDescent="0.3">
      <c r="A17" t="s">
        <v>90</v>
      </c>
      <c r="B17" s="25">
        <v>66.41095</v>
      </c>
      <c r="C17" s="4">
        <v>136.43552</v>
      </c>
    </row>
    <row r="18" spans="1:12" x14ac:dyDescent="0.3">
      <c r="A18" t="s">
        <v>91</v>
      </c>
      <c r="B18" t="s">
        <v>92</v>
      </c>
      <c r="D18" s="25">
        <v>57.68788</v>
      </c>
      <c r="E18" s="4">
        <v>76.924270000000007</v>
      </c>
    </row>
    <row r="20" spans="1:12" x14ac:dyDescent="0.3">
      <c r="A20" s="243" t="s">
        <v>47</v>
      </c>
      <c r="B20" s="243" t="s">
        <v>48</v>
      </c>
      <c r="C20" s="246" t="s">
        <v>45</v>
      </c>
      <c r="D20" s="246"/>
      <c r="E20" s="246"/>
    </row>
    <row r="21" spans="1:12" x14ac:dyDescent="0.3">
      <c r="A21" s="244"/>
      <c r="B21" s="244"/>
      <c r="C21" s="247" t="s">
        <v>46</v>
      </c>
      <c r="D21" s="248"/>
      <c r="E21" s="249"/>
    </row>
    <row r="22" spans="1:12" ht="72" x14ac:dyDescent="0.3">
      <c r="A22" s="245"/>
      <c r="B22" s="245" t="s">
        <v>48</v>
      </c>
      <c r="C22" s="12" t="s">
        <v>214</v>
      </c>
      <c r="D22" s="12" t="s">
        <v>52</v>
      </c>
      <c r="E22" s="12" t="s">
        <v>53</v>
      </c>
      <c r="F22" s="62"/>
      <c r="G22" s="62" t="s">
        <v>93</v>
      </c>
      <c r="H22" s="62" t="s">
        <v>94</v>
      </c>
      <c r="I22" s="62" t="s">
        <v>95</v>
      </c>
    </row>
    <row r="23" spans="1:12" x14ac:dyDescent="0.3">
      <c r="A23" s="15" t="s">
        <v>39</v>
      </c>
      <c r="B23" s="15" t="s">
        <v>40</v>
      </c>
      <c r="C23" s="10">
        <f>'Esperienza gare'!D9</f>
        <v>3</v>
      </c>
      <c r="D23" s="10">
        <f>'Esperienza gare'!E9</f>
        <v>0</v>
      </c>
      <c r="E23" s="10">
        <f>'Esperienza gare'!F9</f>
        <v>0</v>
      </c>
      <c r="F23" s="123">
        <f>C3</f>
        <v>136.43552</v>
      </c>
      <c r="G23" s="63">
        <f>SUM(F23)+$F$25</f>
        <v>209.02498</v>
      </c>
      <c r="H23" s="124">
        <f t="shared" ref="H23:H30" si="0">SUM(G23+C$9)</f>
        <v>212.57902999999999</v>
      </c>
      <c r="I23" s="124">
        <f t="shared" ref="I23:I30" si="1">SUM(G23+C$8)</f>
        <v>226.04847999999998</v>
      </c>
      <c r="J23" s="63">
        <f>SUM(C23*G23)</f>
        <v>627.07493999999997</v>
      </c>
      <c r="K23" s="63">
        <f t="shared" ref="K23:L30" si="2">SUM(D23*H23)</f>
        <v>0</v>
      </c>
      <c r="L23" s="63">
        <f t="shared" si="2"/>
        <v>0</v>
      </c>
    </row>
    <row r="24" spans="1:12" x14ac:dyDescent="0.3">
      <c r="A24" s="15" t="s">
        <v>39</v>
      </c>
      <c r="B24" s="15" t="s">
        <v>41</v>
      </c>
      <c r="C24" s="10">
        <f>'Esperienza gare'!D10</f>
        <v>0</v>
      </c>
      <c r="D24" s="10">
        <f>'Esperienza gare'!E10</f>
        <v>0</v>
      </c>
      <c r="E24" s="10">
        <f>'Esperienza gare'!F10</f>
        <v>0</v>
      </c>
      <c r="F24" s="123">
        <f>C5</f>
        <v>76.924270000000007</v>
      </c>
      <c r="G24" s="63">
        <f t="shared" ref="G24:G28" si="3">SUM(F24)+$F$25</f>
        <v>149.51373000000001</v>
      </c>
      <c r="H24" s="124">
        <f t="shared" si="0"/>
        <v>153.06778</v>
      </c>
      <c r="I24" s="124">
        <f t="shared" si="1"/>
        <v>166.53723000000002</v>
      </c>
      <c r="J24" s="63">
        <f t="shared" ref="J24:J30" si="4">SUM(C24*G24)</f>
        <v>0</v>
      </c>
      <c r="K24" s="63">
        <f t="shared" si="2"/>
        <v>0</v>
      </c>
      <c r="L24" s="63">
        <f t="shared" si="2"/>
        <v>0</v>
      </c>
    </row>
    <row r="25" spans="1:12" x14ac:dyDescent="0.3">
      <c r="A25" s="15" t="s">
        <v>42</v>
      </c>
      <c r="B25" s="15" t="s">
        <v>40</v>
      </c>
      <c r="C25" s="10">
        <f>'Esperienza gare'!D11</f>
        <v>0</v>
      </c>
      <c r="D25" s="10">
        <f>'Esperienza gare'!E11</f>
        <v>0</v>
      </c>
      <c r="E25" s="10">
        <f>'Esperienza gare'!F11</f>
        <v>0</v>
      </c>
      <c r="F25" s="123">
        <f>C2</f>
        <v>72.589460000000003</v>
      </c>
      <c r="G25" s="63">
        <f>SUM(F25)</f>
        <v>72.589460000000003</v>
      </c>
      <c r="H25" s="124">
        <f t="shared" si="0"/>
        <v>76.143510000000006</v>
      </c>
      <c r="I25" s="124">
        <f t="shared" si="1"/>
        <v>89.612960000000001</v>
      </c>
      <c r="J25" s="63">
        <f t="shared" si="4"/>
        <v>0</v>
      </c>
      <c r="K25" s="63">
        <f t="shared" si="2"/>
        <v>0</v>
      </c>
      <c r="L25" s="63">
        <f t="shared" si="2"/>
        <v>0</v>
      </c>
    </row>
    <row r="26" spans="1:12" x14ac:dyDescent="0.3">
      <c r="A26" s="15" t="s">
        <v>42</v>
      </c>
      <c r="B26" s="15" t="s">
        <v>41</v>
      </c>
      <c r="C26" s="10">
        <f>'Esperienza gare'!D12</f>
        <v>0</v>
      </c>
      <c r="D26" s="10">
        <f>'Esperienza gare'!E12</f>
        <v>0</v>
      </c>
      <c r="E26" s="10">
        <f>'Esperienza gare'!F12</f>
        <v>0</v>
      </c>
      <c r="F26" s="123">
        <f>C7</f>
        <v>-13.346909999999999</v>
      </c>
      <c r="G26" s="63">
        <f t="shared" si="3"/>
        <v>59.242550000000001</v>
      </c>
      <c r="H26" s="124">
        <f t="shared" si="0"/>
        <v>62.796599999999998</v>
      </c>
      <c r="I26" s="124">
        <f t="shared" si="1"/>
        <v>76.266050000000007</v>
      </c>
      <c r="J26" s="63">
        <f t="shared" si="4"/>
        <v>0</v>
      </c>
      <c r="K26" s="63">
        <f t="shared" si="2"/>
        <v>0</v>
      </c>
      <c r="L26" s="63">
        <f t="shared" si="2"/>
        <v>0</v>
      </c>
    </row>
    <row r="27" spans="1:12" x14ac:dyDescent="0.3">
      <c r="A27" s="15" t="s">
        <v>43</v>
      </c>
      <c r="B27" s="15" t="s">
        <v>40</v>
      </c>
      <c r="C27" s="10">
        <f>'Esperienza gare'!D13</f>
        <v>0</v>
      </c>
      <c r="D27" s="10">
        <f>'Esperienza gare'!E13</f>
        <v>0</v>
      </c>
      <c r="E27" s="10">
        <f>'Esperienza gare'!F13</f>
        <v>0</v>
      </c>
      <c r="F27" s="123">
        <f>C4</f>
        <v>65.064080000000004</v>
      </c>
      <c r="G27" s="63">
        <f t="shared" si="3"/>
        <v>137.65354000000002</v>
      </c>
      <c r="H27" s="124">
        <f t="shared" si="0"/>
        <v>141.20759000000001</v>
      </c>
      <c r="I27" s="124">
        <f t="shared" si="1"/>
        <v>154.67704000000003</v>
      </c>
      <c r="J27" s="63">
        <f t="shared" si="4"/>
        <v>0</v>
      </c>
      <c r="K27" s="63">
        <f t="shared" si="2"/>
        <v>0</v>
      </c>
      <c r="L27" s="63">
        <f t="shared" si="2"/>
        <v>0</v>
      </c>
    </row>
    <row r="28" spans="1:12" x14ac:dyDescent="0.3">
      <c r="A28" s="15" t="s">
        <v>43</v>
      </c>
      <c r="B28" s="15" t="s">
        <v>41</v>
      </c>
      <c r="C28" s="10">
        <f>'Esperienza gare'!D14</f>
        <v>0</v>
      </c>
      <c r="D28" s="10">
        <f>'Esperienza gare'!E14</f>
        <v>0</v>
      </c>
      <c r="E28" s="10">
        <f>'Esperienza gare'!F14</f>
        <v>0</v>
      </c>
      <c r="F28" s="123">
        <f>C6</f>
        <v>56.544800000000002</v>
      </c>
      <c r="G28" s="63">
        <f t="shared" si="3"/>
        <v>129.13426000000001</v>
      </c>
      <c r="H28" s="124">
        <f t="shared" si="0"/>
        <v>132.68831</v>
      </c>
      <c r="I28" s="124">
        <f t="shared" si="1"/>
        <v>146.15776</v>
      </c>
      <c r="J28" s="63">
        <f t="shared" si="4"/>
        <v>0</v>
      </c>
      <c r="K28" s="63">
        <f t="shared" si="2"/>
        <v>0</v>
      </c>
      <c r="L28" s="63">
        <f t="shared" si="2"/>
        <v>0</v>
      </c>
    </row>
    <row r="29" spans="1:12" x14ac:dyDescent="0.3">
      <c r="A29" s="15" t="s">
        <v>44</v>
      </c>
      <c r="B29" s="15" t="s">
        <v>40</v>
      </c>
      <c r="C29" s="10">
        <f>'Esperienza gare'!D15</f>
        <v>0</v>
      </c>
      <c r="D29" s="10">
        <f>'Esperienza gare'!E15</f>
        <v>0</v>
      </c>
      <c r="E29" s="10">
        <f>'Esperienza gare'!F15</f>
        <v>0</v>
      </c>
      <c r="F29" s="123">
        <f>C17</f>
        <v>136.43552</v>
      </c>
      <c r="G29" s="63">
        <f>SUM(F25+F29)</f>
        <v>209.02498</v>
      </c>
      <c r="H29" s="124">
        <f t="shared" si="0"/>
        <v>212.57902999999999</v>
      </c>
      <c r="I29" s="124">
        <f t="shared" si="1"/>
        <v>226.04847999999998</v>
      </c>
      <c r="J29" s="63">
        <f t="shared" si="4"/>
        <v>0</v>
      </c>
      <c r="K29" s="63">
        <f t="shared" si="2"/>
        <v>0</v>
      </c>
      <c r="L29" s="63">
        <f t="shared" si="2"/>
        <v>0</v>
      </c>
    </row>
    <row r="30" spans="1:12" x14ac:dyDescent="0.3">
      <c r="A30" s="15" t="s">
        <v>44</v>
      </c>
      <c r="B30" s="15" t="s">
        <v>41</v>
      </c>
      <c r="C30" s="10">
        <f>'Esperienza gare'!D16</f>
        <v>0</v>
      </c>
      <c r="D30" s="10">
        <f>'Esperienza gare'!E16</f>
        <v>0</v>
      </c>
      <c r="E30" s="10">
        <f>'Esperienza gare'!F16</f>
        <v>0</v>
      </c>
      <c r="F30" s="123">
        <f>E18</f>
        <v>76.924270000000007</v>
      </c>
      <c r="G30" s="63">
        <f t="shared" ref="G30" si="5">SUM(F30)+$F$25</f>
        <v>149.51373000000001</v>
      </c>
      <c r="H30" s="124">
        <f t="shared" si="0"/>
        <v>153.06778</v>
      </c>
      <c r="I30" s="124">
        <f t="shared" si="1"/>
        <v>166.53723000000002</v>
      </c>
      <c r="J30" s="63">
        <f t="shared" si="4"/>
        <v>0</v>
      </c>
      <c r="K30" s="63">
        <f t="shared" si="2"/>
        <v>0</v>
      </c>
      <c r="L30" s="63">
        <f t="shared" si="2"/>
        <v>0</v>
      </c>
    </row>
    <row r="31" spans="1:12" x14ac:dyDescent="0.3">
      <c r="E31" s="64">
        <f>SUM(J23:L30)</f>
        <v>627.07493999999997</v>
      </c>
    </row>
  </sheetData>
  <sheetProtection selectLockedCells="1" selectUnlockedCells="1"/>
  <mergeCells count="4">
    <mergeCell ref="A20:A22"/>
    <mergeCell ref="B20:B22"/>
    <mergeCell ref="C20:E20"/>
    <mergeCell ref="C21:E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C35"/>
  <sheetViews>
    <sheetView zoomScale="85" zoomScaleNormal="85" workbookViewId="0">
      <selection activeCell="A29" sqref="A29"/>
    </sheetView>
  </sheetViews>
  <sheetFormatPr defaultRowHeight="14.4" x14ac:dyDescent="0.3"/>
  <cols>
    <col min="1" max="1" width="216.33203125" bestFit="1" customWidth="1"/>
    <col min="2" max="2" width="20.109375" customWidth="1"/>
    <col min="3" max="3" width="22.6640625" bestFit="1" customWidth="1"/>
  </cols>
  <sheetData>
    <row r="1" spans="1:3" x14ac:dyDescent="0.3">
      <c r="B1" t="s">
        <v>28</v>
      </c>
      <c r="C1" t="s">
        <v>27</v>
      </c>
    </row>
    <row r="2" spans="1:3" x14ac:dyDescent="0.3">
      <c r="A2" t="s">
        <v>18</v>
      </c>
    </row>
    <row r="3" spans="1:3" x14ac:dyDescent="0.3">
      <c r="A3" t="s">
        <v>0</v>
      </c>
      <c r="B3" s="24">
        <f>IF(Competenze!C3&gt;0,'INDICI-PUNTEGGI'!B3,0)</f>
        <v>0.184</v>
      </c>
      <c r="C3" s="25">
        <f>CALCOLO_SF!AC3</f>
        <v>0.72875528532940326</v>
      </c>
    </row>
    <row r="4" spans="1:3" x14ac:dyDescent="0.3">
      <c r="A4" t="s">
        <v>1</v>
      </c>
      <c r="B4" s="24">
        <f>'INDICI-PUNTEGGI'!B4</f>
        <v>1</v>
      </c>
      <c r="C4" s="25">
        <f>CALCOLO_SF!AC4</f>
        <v>0.64052198929556914</v>
      </c>
    </row>
    <row r="5" spans="1:3" x14ac:dyDescent="0.3">
      <c r="A5" t="s">
        <v>2</v>
      </c>
      <c r="B5" s="24">
        <f>'INDICI-PUNTEGGI'!B5</f>
        <v>12</v>
      </c>
      <c r="C5" s="25">
        <f>CALCOLO_SF!AC5</f>
        <v>1.0699072518608004</v>
      </c>
    </row>
    <row r="6" spans="1:3" x14ac:dyDescent="0.3">
      <c r="A6" t="s">
        <v>3</v>
      </c>
      <c r="B6" s="24">
        <f>'INDICI-PUNTEGGI'!B6</f>
        <v>10</v>
      </c>
      <c r="C6" s="25">
        <f>CALCOLO_SF!AC6</f>
        <v>0.87647486244332218</v>
      </c>
    </row>
    <row r="7" spans="1:3" x14ac:dyDescent="0.3">
      <c r="A7" t="s">
        <v>4</v>
      </c>
      <c r="B7" s="24">
        <f>'INDICI-PUNTEGGI'!B7</f>
        <v>0.34782608695652173</v>
      </c>
      <c r="C7" s="25">
        <f>CALCOLO_SF!AC7</f>
        <v>0.22443659984189643</v>
      </c>
    </row>
    <row r="8" spans="1:3" x14ac:dyDescent="0.3">
      <c r="A8" t="s">
        <v>5</v>
      </c>
      <c r="B8" s="24">
        <f>'INDICI-PUNTEGGI'!B8</f>
        <v>0.13043478260869565</v>
      </c>
      <c r="C8" s="25">
        <f>CALCOLO_SF!AC8</f>
        <v>0.41936234569272501</v>
      </c>
    </row>
    <row r="9" spans="1:3" x14ac:dyDescent="0.3">
      <c r="A9" t="s">
        <v>6</v>
      </c>
      <c r="B9" s="24">
        <f>IF(Competenze!C10&gt;0,'INDICI-PUNTEGGI'!B9,0)</f>
        <v>0.5</v>
      </c>
      <c r="C9" s="25">
        <f>CALCOLO_SF!AC9</f>
        <v>0.25504285051077219</v>
      </c>
    </row>
    <row r="10" spans="1:3" x14ac:dyDescent="0.3">
      <c r="A10" t="s">
        <v>7</v>
      </c>
      <c r="B10" s="24">
        <f>'INDICI-PUNTEGGI'!B10</f>
        <v>0.30434782608695654</v>
      </c>
      <c r="C10" s="25">
        <f>CALCOLO_SF!AC10</f>
        <v>7.4880384508618808E-2</v>
      </c>
    </row>
    <row r="11" spans="1:3" x14ac:dyDescent="0.3">
      <c r="A11" t="s">
        <v>8</v>
      </c>
      <c r="B11" s="24">
        <f>'INDICI-PUNTEGGI'!B11</f>
        <v>8.6956521739130432E-2</v>
      </c>
      <c r="C11" s="25">
        <f>CALCOLO_SF!AC11</f>
        <v>0.67443002203252322</v>
      </c>
    </row>
    <row r="12" spans="1:3" x14ac:dyDescent="0.3">
      <c r="A12" t="s">
        <v>9</v>
      </c>
      <c r="B12" s="24">
        <f>'INDICI-PUNTEGGI'!B12</f>
        <v>0.13043478260869565</v>
      </c>
      <c r="C12" s="25">
        <f>CALCOLO_SF!AC12</f>
        <v>0.78932236604186912</v>
      </c>
    </row>
    <row r="13" spans="1:3" x14ac:dyDescent="0.3">
      <c r="A13" t="s">
        <v>10</v>
      </c>
      <c r="B13" s="24">
        <f>'INDICI-PUNTEGGI'!B13</f>
        <v>0.13043478260869565</v>
      </c>
      <c r="C13" s="25">
        <f>CALCOLO_SF!AC13</f>
        <v>0.30324244684307367</v>
      </c>
    </row>
    <row r="14" spans="1:3" x14ac:dyDescent="0.3">
      <c r="A14" t="s">
        <v>11</v>
      </c>
      <c r="B14" s="24">
        <f>'INDICI-PUNTEGGI'!B14</f>
        <v>4.3478260869565216E-2</v>
      </c>
      <c r="C14" s="25">
        <f>CALCOLO_SF!AC14</f>
        <v>0.2496768199362196</v>
      </c>
    </row>
    <row r="15" spans="1:3" x14ac:dyDescent="0.3">
      <c r="A15" t="s">
        <v>12</v>
      </c>
      <c r="B15" s="24">
        <f>'INDICI-PUNTEGGI'!B15</f>
        <v>27.264127826086956</v>
      </c>
      <c r="C15" s="25">
        <f>CALCOLO_SF!AC18</f>
        <v>1.7798313898936442</v>
      </c>
    </row>
    <row r="16" spans="1:3" x14ac:dyDescent="0.3">
      <c r="A16" t="s">
        <v>19</v>
      </c>
      <c r="B16" s="24"/>
      <c r="C16" s="25"/>
    </row>
    <row r="17" spans="1:3" x14ac:dyDescent="0.3">
      <c r="A17" t="s">
        <v>20</v>
      </c>
      <c r="B17" s="24">
        <f>'INDICI-PUNTEGGI'!B17</f>
        <v>0.34782608695652173</v>
      </c>
      <c r="C17" s="25">
        <f>CALCOLO_SF!AC20</f>
        <v>0.89027512804919562</v>
      </c>
    </row>
    <row r="18" spans="1:3" x14ac:dyDescent="0.3">
      <c r="A18" t="s">
        <v>21</v>
      </c>
      <c r="B18" s="24">
        <f>'INDICI-PUNTEGGI'!B18</f>
        <v>0.21739130434782608</v>
      </c>
      <c r="C18" s="25">
        <f>CALCOLO_SF!AC21</f>
        <v>2.7248964691113362</v>
      </c>
    </row>
    <row r="19" spans="1:3" x14ac:dyDescent="0.3">
      <c r="A19" t="s">
        <v>22</v>
      </c>
      <c r="B19" s="24">
        <f>'INDICI-PUNTEGGI'!B19</f>
        <v>8.6956521739130432E-2</v>
      </c>
      <c r="C19" s="25">
        <f>CALCOLO_SF!AC22</f>
        <v>4.4543995043663731</v>
      </c>
    </row>
    <row r="20" spans="1:3" x14ac:dyDescent="0.3">
      <c r="A20" t="s">
        <v>23</v>
      </c>
      <c r="B20" s="24"/>
      <c r="C20" s="25"/>
    </row>
    <row r="21" spans="1:3" x14ac:dyDescent="0.3">
      <c r="A21" t="s">
        <v>13</v>
      </c>
      <c r="B21" s="24">
        <f>'INDICI-PUNTEGGI'!B21</f>
        <v>627.07493999999997</v>
      </c>
      <c r="C21" s="25">
        <f>CALCOLO_SF!AC28</f>
        <v>22.157594095350568</v>
      </c>
    </row>
    <row r="22" spans="1:3" x14ac:dyDescent="0.3">
      <c r="A22" t="s">
        <v>14</v>
      </c>
      <c r="B22" s="65">
        <f>'INDICI-PUNTEGGI'!B22</f>
        <v>0.45</v>
      </c>
      <c r="C22" s="25">
        <f>CALCOLO_SF!AC30</f>
        <v>0.72813542448326019</v>
      </c>
    </row>
    <row r="23" spans="1:3" x14ac:dyDescent="0.3">
      <c r="A23" t="s">
        <v>15</v>
      </c>
      <c r="B23" s="65">
        <f>1-'INDICI-PUNTEGGI'!B23</f>
        <v>1</v>
      </c>
      <c r="C23" s="25">
        <f>CALCOLO_SF!AC31</f>
        <v>2</v>
      </c>
    </row>
    <row r="24" spans="1:3" x14ac:dyDescent="0.3">
      <c r="A24" t="s">
        <v>24</v>
      </c>
      <c r="B24" s="24"/>
      <c r="C24" s="25"/>
    </row>
    <row r="25" spans="1:3" x14ac:dyDescent="0.3">
      <c r="A25" t="s">
        <v>16</v>
      </c>
      <c r="B25" s="65">
        <f>'INDICI-PUNTEGGI'!B25</f>
        <v>1</v>
      </c>
      <c r="C25" s="25">
        <f>CALCOLO_SF!AC33</f>
        <v>2.5</v>
      </c>
    </row>
    <row r="26" spans="1:3" ht="16.95" customHeight="1" x14ac:dyDescent="0.3">
      <c r="A26" t="s">
        <v>17</v>
      </c>
      <c r="B26" s="65">
        <f>'INDICI-PUNTEGGI'!B26</f>
        <v>1</v>
      </c>
      <c r="C26" s="25">
        <f>CALCOLO_SF!AC34</f>
        <v>2.5</v>
      </c>
    </row>
    <row r="27" spans="1:3" x14ac:dyDescent="0.3">
      <c r="A27" t="s">
        <v>190</v>
      </c>
      <c r="B27" s="24"/>
      <c r="C27" s="25"/>
    </row>
    <row r="28" spans="1:3" x14ac:dyDescent="0.3">
      <c r="A28" t="s">
        <v>218</v>
      </c>
      <c r="B28" s="65">
        <f>'INDICI-PUNTEGGI'!B28</f>
        <v>1</v>
      </c>
      <c r="C28" s="25">
        <f>CALCOLO_SF!AC36</f>
        <v>1.25</v>
      </c>
    </row>
    <row r="29" spans="1:3" x14ac:dyDescent="0.3">
      <c r="A29" t="s">
        <v>191</v>
      </c>
      <c r="B29" s="65"/>
      <c r="C29" s="25"/>
    </row>
    <row r="30" spans="1:3" x14ac:dyDescent="0.3">
      <c r="A30" s="43" t="s">
        <v>171</v>
      </c>
      <c r="B30" s="167" t="str">
        <f>'INDICI-PUNTEGGI'!B30</f>
        <v>SI</v>
      </c>
      <c r="C30" s="25">
        <f>CALCOLO_SF!AC38</f>
        <v>1</v>
      </c>
    </row>
    <row r="31" spans="1:3" x14ac:dyDescent="0.3">
      <c r="A31" s="43" t="s">
        <v>172</v>
      </c>
      <c r="B31" s="167" t="str">
        <f>'INDICI-PUNTEGGI'!B31</f>
        <v>SI</v>
      </c>
      <c r="C31" s="25">
        <f>CALCOLO_SF!AC39</f>
        <v>1</v>
      </c>
    </row>
    <row r="32" spans="1:3" x14ac:dyDescent="0.3">
      <c r="A32" s="43" t="s">
        <v>173</v>
      </c>
      <c r="B32" s="65">
        <f>'INDICI-PUNTEGGI'!B32</f>
        <v>0.67</v>
      </c>
      <c r="C32" s="25">
        <f>CALCOLO_SF!AC40</f>
        <v>1</v>
      </c>
    </row>
    <row r="33" spans="1:3" x14ac:dyDescent="0.3">
      <c r="A33" s="53" t="s">
        <v>174</v>
      </c>
      <c r="B33" s="65">
        <f>'INDICI-PUNTEGGI'!B33</f>
        <v>104.66666666666667</v>
      </c>
      <c r="C33" s="25">
        <f>CALCOLO_SF!AC41</f>
        <v>5</v>
      </c>
    </row>
    <row r="35" spans="1:3" ht="21" x14ac:dyDescent="0.3">
      <c r="C35" s="26">
        <f>SUM(C3:C33)</f>
        <v>55.291185235591172</v>
      </c>
    </row>
  </sheetData>
  <sheetProtection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AH54"/>
  <sheetViews>
    <sheetView zoomScale="60" zoomScaleNormal="60" workbookViewId="0">
      <selection activeCell="A37" sqref="A37"/>
    </sheetView>
  </sheetViews>
  <sheetFormatPr defaultRowHeight="14.4" x14ac:dyDescent="0.3"/>
  <cols>
    <col min="1" max="1" width="216.5546875" customWidth="1"/>
    <col min="2" max="2" width="14.109375" bestFit="1" customWidth="1"/>
    <col min="3" max="3" width="14.109375" customWidth="1"/>
    <col min="4" max="4" width="17" bestFit="1" customWidth="1"/>
    <col min="5" max="5" width="14.109375" customWidth="1"/>
    <col min="6" max="6" width="16.109375" customWidth="1"/>
    <col min="7" max="7" width="14.6640625" bestFit="1" customWidth="1"/>
    <col min="8" max="8" width="16.109375" bestFit="1" customWidth="1"/>
    <col min="9" max="9" width="14.6640625" bestFit="1" customWidth="1"/>
    <col min="10" max="10" width="15.44140625" bestFit="1" customWidth="1"/>
    <col min="11" max="12" width="13.6640625" bestFit="1" customWidth="1"/>
    <col min="13" max="13" width="15" bestFit="1" customWidth="1"/>
    <col min="14" max="14" width="10.6640625" bestFit="1" customWidth="1"/>
    <col min="21" max="22" width="13.6640625" bestFit="1" customWidth="1"/>
    <col min="24" max="26" width="12.5546875" customWidth="1"/>
    <col min="28" max="28" width="12" bestFit="1" customWidth="1"/>
    <col min="29" max="29" width="12.109375" customWidth="1"/>
    <col min="30" max="33" width="2.33203125" bestFit="1" customWidth="1"/>
  </cols>
  <sheetData>
    <row r="1" spans="1:29" x14ac:dyDescent="0.3">
      <c r="B1" t="s">
        <v>31</v>
      </c>
      <c r="C1" t="s">
        <v>32</v>
      </c>
      <c r="D1" t="s">
        <v>37</v>
      </c>
      <c r="E1" t="s">
        <v>36</v>
      </c>
      <c r="F1" s="5">
        <v>0</v>
      </c>
      <c r="G1" s="5">
        <v>1</v>
      </c>
      <c r="H1" s="5">
        <v>2</v>
      </c>
      <c r="I1" s="5">
        <v>3</v>
      </c>
      <c r="J1" s="5">
        <v>4</v>
      </c>
      <c r="K1" s="5">
        <v>5</v>
      </c>
      <c r="L1" s="5">
        <v>6</v>
      </c>
      <c r="M1" s="5">
        <v>7</v>
      </c>
      <c r="X1" t="s">
        <v>33</v>
      </c>
      <c r="Y1" t="s">
        <v>34</v>
      </c>
      <c r="Z1" t="s">
        <v>35</v>
      </c>
      <c r="AC1" t="s">
        <v>38</v>
      </c>
    </row>
    <row r="2" spans="1:29" x14ac:dyDescent="0.3">
      <c r="A2" t="s">
        <v>18</v>
      </c>
    </row>
    <row r="3" spans="1:29" x14ac:dyDescent="0.3">
      <c r="A3" t="s">
        <v>0</v>
      </c>
      <c r="B3" s="27">
        <f>INDICIb!B3</f>
        <v>0.184</v>
      </c>
      <c r="C3">
        <v>15</v>
      </c>
      <c r="D3">
        <f t="shared" ref="D3:D17" si="0">SUM(C$2:C$15)</f>
        <v>217</v>
      </c>
      <c r="E3">
        <v>20</v>
      </c>
      <c r="F3" s="120">
        <v>-2.4682713762856401</v>
      </c>
      <c r="G3" s="120">
        <v>653.71795826000005</v>
      </c>
      <c r="H3" s="120">
        <v>-3825.4023284499999</v>
      </c>
      <c r="I3" s="120">
        <v>16002.02471405</v>
      </c>
      <c r="J3" s="120">
        <v>-39489.567941560003</v>
      </c>
      <c r="K3" s="120">
        <v>53941.02514595</v>
      </c>
      <c r="L3" s="120">
        <v>-37666.088973919999</v>
      </c>
      <c r="M3" s="120">
        <v>10488.80549443</v>
      </c>
      <c r="O3">
        <f t="shared" ref="O3:V16" si="1">$B3^F$1*F3</f>
        <v>-2.4682713762856401</v>
      </c>
      <c r="P3">
        <f t="shared" si="1"/>
        <v>120.28410431984001</v>
      </c>
      <c r="Q3">
        <f t="shared" si="1"/>
        <v>-129.51282123200318</v>
      </c>
      <c r="R3">
        <f t="shared" si="1"/>
        <v>99.684676964273322</v>
      </c>
      <c r="S3">
        <f t="shared" si="1"/>
        <v>-45.26407754684044</v>
      </c>
      <c r="T3">
        <f t="shared" si="1"/>
        <v>11.376490565171911</v>
      </c>
      <c r="U3">
        <f t="shared" si="1"/>
        <v>-1.4616973715458865</v>
      </c>
      <c r="V3">
        <f t="shared" si="1"/>
        <v>7.4894649550058132E-2</v>
      </c>
      <c r="X3">
        <f t="shared" ref="X3:X16" si="2">SUM(O3:V3)</f>
        <v>52.71329897216016</v>
      </c>
      <c r="Y3">
        <f t="shared" ref="Y3:Y16" si="3">MIN(X3,100)</f>
        <v>52.71329897216016</v>
      </c>
      <c r="Z3">
        <f t="shared" ref="Z3:Z16" si="4">MAX(0,Y3)</f>
        <v>52.71329897216016</v>
      </c>
      <c r="AB3">
        <f>IF(B3&gt;0,Z3*C3/D3*E3/100,0)</f>
        <v>0.72875528532940326</v>
      </c>
      <c r="AC3">
        <f>AB3</f>
        <v>0.72875528532940326</v>
      </c>
    </row>
    <row r="4" spans="1:29" x14ac:dyDescent="0.3">
      <c r="A4" t="s">
        <v>1</v>
      </c>
      <c r="B4" s="27">
        <f>INDICIb!B4</f>
        <v>1</v>
      </c>
      <c r="C4">
        <v>15</v>
      </c>
      <c r="D4">
        <f t="shared" si="0"/>
        <v>217</v>
      </c>
      <c r="E4">
        <v>20</v>
      </c>
      <c r="F4" s="120">
        <v>28.731835621347798</v>
      </c>
      <c r="G4" s="121">
        <v>20.7879793</v>
      </c>
      <c r="H4" s="121">
        <v>-3.5391415099999999</v>
      </c>
      <c r="I4" s="121">
        <v>0.37360420700000002</v>
      </c>
      <c r="J4" s="121">
        <v>-2.40797661E-2</v>
      </c>
      <c r="K4" s="121">
        <v>9.11022391E-4</v>
      </c>
      <c r="L4" s="121">
        <v>-1.8469883400000001E-5</v>
      </c>
      <c r="M4" s="121">
        <v>1.5429076099999999E-7</v>
      </c>
      <c r="O4">
        <f t="shared" si="1"/>
        <v>28.731835621347798</v>
      </c>
      <c r="P4">
        <f t="shared" si="1"/>
        <v>20.7879793</v>
      </c>
      <c r="Q4">
        <f t="shared" si="1"/>
        <v>-3.5391415099999999</v>
      </c>
      <c r="R4">
        <f t="shared" si="1"/>
        <v>0.37360420700000002</v>
      </c>
      <c r="S4">
        <f t="shared" si="1"/>
        <v>-2.40797661E-2</v>
      </c>
      <c r="T4">
        <f t="shared" si="1"/>
        <v>9.11022391E-4</v>
      </c>
      <c r="U4">
        <f t="shared" si="1"/>
        <v>-1.8469883400000001E-5</v>
      </c>
      <c r="V4">
        <f t="shared" si="1"/>
        <v>1.5429076099999999E-7</v>
      </c>
      <c r="X4">
        <f t="shared" si="2"/>
        <v>46.33109055904616</v>
      </c>
      <c r="Y4">
        <f t="shared" si="3"/>
        <v>46.33109055904616</v>
      </c>
      <c r="Z4">
        <f t="shared" si="4"/>
        <v>46.33109055904616</v>
      </c>
      <c r="AB4">
        <f t="shared" ref="AB4:AB17" si="5">IF(B4&gt;0,Z4*C4/D4*E4/100,0)</f>
        <v>0.64052198929556914</v>
      </c>
      <c r="AC4">
        <f t="shared" ref="AC4:AC14" si="6">AB4</f>
        <v>0.64052198929556914</v>
      </c>
    </row>
    <row r="5" spans="1:29" x14ac:dyDescent="0.3">
      <c r="A5" t="s">
        <v>2</v>
      </c>
      <c r="B5" s="27">
        <f>INDICIb!B5</f>
        <v>12</v>
      </c>
      <c r="C5">
        <v>15</v>
      </c>
      <c r="D5">
        <f t="shared" si="0"/>
        <v>217</v>
      </c>
      <c r="E5">
        <v>20</v>
      </c>
      <c r="F5" s="121">
        <v>14.2471819475346</v>
      </c>
      <c r="G5" s="121">
        <v>12.5950294</v>
      </c>
      <c r="H5" s="121">
        <v>-1.0053959699999999</v>
      </c>
      <c r="I5" s="121">
        <v>4.3677255499999998E-2</v>
      </c>
      <c r="J5" s="121">
        <v>-1.0595129300000001E-3</v>
      </c>
      <c r="K5" s="121">
        <v>1.4332226600000001E-5</v>
      </c>
      <c r="L5" s="121">
        <v>-1.0095219099999999E-7</v>
      </c>
      <c r="M5" s="121">
        <v>2.8830382500000001E-10</v>
      </c>
      <c r="O5">
        <f t="shared" si="1"/>
        <v>14.2471819475346</v>
      </c>
      <c r="P5">
        <f t="shared" si="1"/>
        <v>151.14035279999999</v>
      </c>
      <c r="Q5">
        <f t="shared" si="1"/>
        <v>-144.77701968</v>
      </c>
      <c r="R5">
        <f t="shared" si="1"/>
        <v>75.474297503999992</v>
      </c>
      <c r="S5">
        <f t="shared" si="1"/>
        <v>-21.970060116480003</v>
      </c>
      <c r="T5">
        <f t="shared" si="1"/>
        <v>3.5663166093312002</v>
      </c>
      <c r="U5">
        <f t="shared" si="1"/>
        <v>-0.30144162709094396</v>
      </c>
      <c r="V5">
        <f t="shared" si="1"/>
        <v>1.03304473030656E-2</v>
      </c>
      <c r="X5">
        <f t="shared" si="2"/>
        <v>77.389957884597891</v>
      </c>
      <c r="Y5">
        <f t="shared" si="3"/>
        <v>77.389957884597891</v>
      </c>
      <c r="Z5">
        <f t="shared" si="4"/>
        <v>77.389957884597891</v>
      </c>
      <c r="AB5">
        <f t="shared" si="5"/>
        <v>1.0699072518608004</v>
      </c>
      <c r="AC5">
        <f t="shared" si="6"/>
        <v>1.0699072518608004</v>
      </c>
    </row>
    <row r="6" spans="1:29" x14ac:dyDescent="0.3">
      <c r="A6" t="s">
        <v>3</v>
      </c>
      <c r="B6" s="27">
        <f>INDICIb!B6</f>
        <v>10</v>
      </c>
      <c r="C6">
        <v>15</v>
      </c>
      <c r="D6">
        <f t="shared" si="0"/>
        <v>217</v>
      </c>
      <c r="E6">
        <v>20</v>
      </c>
      <c r="F6" s="120">
        <v>11.613957530968101</v>
      </c>
      <c r="G6" s="121">
        <v>8.2645115899999997</v>
      </c>
      <c r="H6" s="121">
        <v>-0.39824110000000001</v>
      </c>
      <c r="I6" s="121">
        <v>1.0350157400000001E-2</v>
      </c>
      <c r="J6" s="121">
        <v>-1.5039014800000001E-4</v>
      </c>
      <c r="K6" s="121">
        <v>1.2222593500000001E-6</v>
      </c>
      <c r="L6" s="121">
        <v>-5.1862938399999996E-9</v>
      </c>
      <c r="M6" s="121">
        <v>8.9391272199999999E-12</v>
      </c>
      <c r="O6">
        <f t="shared" si="1"/>
        <v>11.613957530968101</v>
      </c>
      <c r="P6">
        <f t="shared" si="1"/>
        <v>82.645115899999993</v>
      </c>
      <c r="Q6">
        <f t="shared" si="1"/>
        <v>-39.824110000000005</v>
      </c>
      <c r="R6">
        <f t="shared" si="1"/>
        <v>10.350157400000001</v>
      </c>
      <c r="S6">
        <f t="shared" si="1"/>
        <v>-1.5039014800000001</v>
      </c>
      <c r="T6">
        <f t="shared" si="1"/>
        <v>0.12222593500000001</v>
      </c>
      <c r="U6">
        <f t="shared" si="1"/>
        <v>-5.1862938399999999E-3</v>
      </c>
      <c r="V6">
        <f t="shared" si="1"/>
        <v>8.9391272199999992E-5</v>
      </c>
      <c r="X6">
        <f t="shared" si="2"/>
        <v>63.398348383400297</v>
      </c>
      <c r="Y6">
        <f t="shared" si="3"/>
        <v>63.398348383400297</v>
      </c>
      <c r="Z6">
        <f t="shared" si="4"/>
        <v>63.398348383400297</v>
      </c>
      <c r="AB6">
        <f t="shared" si="5"/>
        <v>0.87647486244332218</v>
      </c>
      <c r="AC6">
        <f t="shared" si="6"/>
        <v>0.87647486244332218</v>
      </c>
    </row>
    <row r="7" spans="1:29" x14ac:dyDescent="0.3">
      <c r="A7" t="s">
        <v>4</v>
      </c>
      <c r="B7" s="27">
        <f>INDICIb!B7</f>
        <v>0.34782608695652173</v>
      </c>
      <c r="C7">
        <v>10</v>
      </c>
      <c r="D7">
        <f t="shared" si="0"/>
        <v>217</v>
      </c>
      <c r="E7">
        <v>20</v>
      </c>
      <c r="F7" s="120">
        <v>0.15633545586835099</v>
      </c>
      <c r="G7" s="120">
        <v>6.2817129099999999E-4</v>
      </c>
      <c r="H7" s="120">
        <v>182.027098</v>
      </c>
      <c r="I7" s="120">
        <v>285.68711000000002</v>
      </c>
      <c r="J7" s="120">
        <v>-1283.9208599999999</v>
      </c>
      <c r="K7" s="120">
        <v>2594.19479</v>
      </c>
      <c r="L7" s="120">
        <v>-2796.2755999999999</v>
      </c>
      <c r="M7" s="120">
        <v>1116.39859</v>
      </c>
      <c r="O7">
        <f t="shared" si="1"/>
        <v>0.15633545586835099</v>
      </c>
      <c r="P7">
        <f t="shared" si="1"/>
        <v>2.1849436208695651E-4</v>
      </c>
      <c r="Q7">
        <f t="shared" si="1"/>
        <v>22.022181988657842</v>
      </c>
      <c r="R7">
        <f t="shared" si="1"/>
        <v>12.022010382181309</v>
      </c>
      <c r="S7">
        <f t="shared" si="1"/>
        <v>-18.792599521013713</v>
      </c>
      <c r="T7">
        <f t="shared" si="1"/>
        <v>13.207278555341126</v>
      </c>
      <c r="U7">
        <f t="shared" si="1"/>
        <v>-4.9516835129513748</v>
      </c>
      <c r="V7">
        <f t="shared" si="1"/>
        <v>0.68762924040014062</v>
      </c>
      <c r="X7">
        <f t="shared" si="2"/>
        <v>24.351371082845766</v>
      </c>
      <c r="Y7">
        <f t="shared" si="3"/>
        <v>24.351371082845766</v>
      </c>
      <c r="Z7" s="4">
        <f>IF(B7&lt;=0.99,MAX(0,Y7),100)</f>
        <v>24.351371082845766</v>
      </c>
      <c r="AB7">
        <f t="shared" si="5"/>
        <v>0.22443659984189643</v>
      </c>
      <c r="AC7">
        <f t="shared" si="6"/>
        <v>0.22443659984189643</v>
      </c>
    </row>
    <row r="8" spans="1:29" x14ac:dyDescent="0.3">
      <c r="A8" t="s">
        <v>5</v>
      </c>
      <c r="B8" s="27">
        <f>INDICIb!B8</f>
        <v>0.13043478260869565</v>
      </c>
      <c r="C8">
        <v>8</v>
      </c>
      <c r="D8">
        <f t="shared" si="0"/>
        <v>217</v>
      </c>
      <c r="E8">
        <v>20</v>
      </c>
      <c r="F8" s="120">
        <v>-9.71850757242645</v>
      </c>
      <c r="G8" s="120">
        <v>728.05991087999996</v>
      </c>
      <c r="H8" s="120">
        <v>-1971.7247434000001</v>
      </c>
      <c r="I8" s="120">
        <v>2515.9387036899998</v>
      </c>
      <c r="J8" s="120">
        <v>-1444.6987181699999</v>
      </c>
      <c r="K8" s="120">
        <v>280.92425741</v>
      </c>
      <c r="L8" s="120"/>
      <c r="M8" s="120"/>
      <c r="O8">
        <f t="shared" si="1"/>
        <v>-9.71850757242645</v>
      </c>
      <c r="P8">
        <f t="shared" si="1"/>
        <v>94.96433620173913</v>
      </c>
      <c r="Q8">
        <f t="shared" si="1"/>
        <v>-33.545411513421548</v>
      </c>
      <c r="R8">
        <f t="shared" si="1"/>
        <v>5.5831630639952321</v>
      </c>
      <c r="S8">
        <f t="shared" si="1"/>
        <v>-0.41816816039025728</v>
      </c>
      <c r="T8">
        <f t="shared" si="1"/>
        <v>1.0606115079732388E-2</v>
      </c>
      <c r="U8">
        <f t="shared" si="1"/>
        <v>0</v>
      </c>
      <c r="V8">
        <f t="shared" si="1"/>
        <v>0</v>
      </c>
      <c r="X8">
        <f t="shared" si="2"/>
        <v>56.876018134575837</v>
      </c>
      <c r="Y8">
        <f t="shared" si="3"/>
        <v>56.876018134575837</v>
      </c>
      <c r="Z8" s="4">
        <f>IF(B8&gt;0.8,100,MAX(0,Y8))</f>
        <v>56.876018134575837</v>
      </c>
      <c r="AB8">
        <f t="shared" si="5"/>
        <v>0.41936234569272501</v>
      </c>
      <c r="AC8">
        <f t="shared" si="6"/>
        <v>0.41936234569272501</v>
      </c>
    </row>
    <row r="9" spans="1:29" x14ac:dyDescent="0.3">
      <c r="A9" t="s">
        <v>6</v>
      </c>
      <c r="B9" s="27">
        <f>INDICIb!B9</f>
        <v>0.5</v>
      </c>
      <c r="C9">
        <v>5</v>
      </c>
      <c r="D9">
        <f t="shared" si="0"/>
        <v>217</v>
      </c>
      <c r="E9">
        <v>20</v>
      </c>
      <c r="F9" s="120">
        <v>-0.30822727033424901</v>
      </c>
      <c r="G9" s="120">
        <v>76.117906329999997</v>
      </c>
      <c r="H9" s="120">
        <v>-223.59736853000001</v>
      </c>
      <c r="I9" s="120">
        <v>3228.46285829</v>
      </c>
      <c r="J9" s="120">
        <v>-11959.43832343</v>
      </c>
      <c r="K9" s="120">
        <v>20509.343232129999</v>
      </c>
      <c r="L9" s="120">
        <v>-17079.514196550001</v>
      </c>
      <c r="M9" s="120">
        <v>5548.8494136099998</v>
      </c>
      <c r="O9">
        <f t="shared" si="1"/>
        <v>-0.30822727033424901</v>
      </c>
      <c r="P9">
        <f t="shared" si="1"/>
        <v>38.058953164999998</v>
      </c>
      <c r="Q9">
        <f t="shared" si="1"/>
        <v>-55.899342132500003</v>
      </c>
      <c r="R9">
        <f t="shared" si="1"/>
        <v>403.55785728625</v>
      </c>
      <c r="S9">
        <f t="shared" si="1"/>
        <v>-747.46489521437502</v>
      </c>
      <c r="T9">
        <f t="shared" si="1"/>
        <v>640.91697600406246</v>
      </c>
      <c r="U9">
        <f t="shared" si="1"/>
        <v>-266.86740932109376</v>
      </c>
      <c r="V9">
        <f t="shared" si="1"/>
        <v>43.350386043828124</v>
      </c>
      <c r="X9">
        <f t="shared" si="2"/>
        <v>55.344298560837572</v>
      </c>
      <c r="Y9">
        <f t="shared" si="3"/>
        <v>55.344298560837572</v>
      </c>
      <c r="Z9" s="4">
        <f>IF(B9&lt;=0.99,MAX(0,Y9),100)</f>
        <v>55.344298560837572</v>
      </c>
      <c r="AB9">
        <f t="shared" si="5"/>
        <v>0.25504285051077219</v>
      </c>
      <c r="AC9">
        <f t="shared" si="6"/>
        <v>0.25504285051077219</v>
      </c>
    </row>
    <row r="10" spans="1:29" x14ac:dyDescent="0.3">
      <c r="A10" t="s">
        <v>7</v>
      </c>
      <c r="B10" s="27">
        <f>INDICIb!B10</f>
        <v>0.30434782608695654</v>
      </c>
      <c r="C10">
        <v>13</v>
      </c>
      <c r="D10">
        <f t="shared" si="0"/>
        <v>217</v>
      </c>
      <c r="E10">
        <v>20</v>
      </c>
      <c r="F10" s="120">
        <v>-6.3778783781226602</v>
      </c>
      <c r="G10" s="120">
        <v>175.16385571000001</v>
      </c>
      <c r="H10" s="120">
        <v>-1622.6495498300001</v>
      </c>
      <c r="I10" s="120">
        <v>7737.8665229600001</v>
      </c>
      <c r="J10" s="120">
        <v>-18892.960511540001</v>
      </c>
      <c r="K10" s="120">
        <v>25323.317779159999</v>
      </c>
      <c r="L10" s="120">
        <v>-17174.577007619999</v>
      </c>
      <c r="M10" s="120">
        <v>4560.7266672799997</v>
      </c>
      <c r="O10">
        <f t="shared" si="1"/>
        <v>-6.3778783781226602</v>
      </c>
      <c r="P10">
        <f t="shared" si="1"/>
        <v>53.310738694347833</v>
      </c>
      <c r="Q10">
        <f t="shared" si="1"/>
        <v>-150.30213221487716</v>
      </c>
      <c r="R10">
        <f t="shared" si="1"/>
        <v>218.13826065384075</v>
      </c>
      <c r="S10">
        <f t="shared" si="1"/>
        <v>-162.09918556683098</v>
      </c>
      <c r="T10">
        <f t="shared" si="1"/>
        <v>66.125904401667555</v>
      </c>
      <c r="U10">
        <f t="shared" si="1"/>
        <v>-13.649202392870325</v>
      </c>
      <c r="V10">
        <f t="shared" si="1"/>
        <v>1.1031268945258721</v>
      </c>
      <c r="X10">
        <f t="shared" si="2"/>
        <v>6.2496320916808763</v>
      </c>
      <c r="Y10">
        <f t="shared" si="3"/>
        <v>6.2496320916808763</v>
      </c>
      <c r="Z10">
        <f t="shared" si="4"/>
        <v>6.2496320916808763</v>
      </c>
      <c r="AB10">
        <f t="shared" si="5"/>
        <v>7.4880384508618808E-2</v>
      </c>
      <c r="AC10">
        <f t="shared" si="6"/>
        <v>7.4880384508618808E-2</v>
      </c>
    </row>
    <row r="11" spans="1:29" x14ac:dyDescent="0.3">
      <c r="A11" t="s">
        <v>8</v>
      </c>
      <c r="B11" s="27">
        <f>INDICIb!B11</f>
        <v>8.6956521739130432E-2</v>
      </c>
      <c r="C11">
        <v>11</v>
      </c>
      <c r="D11">
        <f t="shared" si="0"/>
        <v>217</v>
      </c>
      <c r="E11">
        <v>20</v>
      </c>
      <c r="F11" s="120">
        <v>-8.0103723594264995</v>
      </c>
      <c r="G11" s="120">
        <v>1597.50163073</v>
      </c>
      <c r="H11" s="120">
        <v>-12221.275631590001</v>
      </c>
      <c r="I11" s="120">
        <v>52121.694900720002</v>
      </c>
      <c r="J11" s="120">
        <v>-120920.82562446001</v>
      </c>
      <c r="K11" s="120">
        <v>141089.92790313001</v>
      </c>
      <c r="L11" s="120">
        <v>-64130.940260310002</v>
      </c>
      <c r="M11" s="120"/>
      <c r="O11">
        <f t="shared" si="1"/>
        <v>-8.0103723594264995</v>
      </c>
      <c r="P11">
        <f t="shared" si="1"/>
        <v>138.91318528086956</v>
      </c>
      <c r="Q11">
        <f t="shared" si="1"/>
        <v>-92.410401751153117</v>
      </c>
      <c r="R11">
        <f t="shared" si="1"/>
        <v>34.270860459090983</v>
      </c>
      <c r="S11">
        <f t="shared" si="1"/>
        <v>-6.9136874510574211</v>
      </c>
      <c r="T11">
        <f t="shared" si="1"/>
        <v>0.70146629738349231</v>
      </c>
      <c r="U11">
        <f t="shared" si="1"/>
        <v>-2.7725575226287453E-2</v>
      </c>
      <c r="V11">
        <f t="shared" si="1"/>
        <v>0</v>
      </c>
      <c r="X11">
        <f t="shared" si="2"/>
        <v>66.523324900480702</v>
      </c>
      <c r="Y11">
        <f t="shared" si="3"/>
        <v>66.523324900480702</v>
      </c>
      <c r="Z11" s="34">
        <f>(IF(B11&lt;=0.6,MAX(0,Y11),100))</f>
        <v>66.523324900480702</v>
      </c>
      <c r="AB11">
        <f t="shared" si="5"/>
        <v>0.67443002203252322</v>
      </c>
      <c r="AC11">
        <f t="shared" si="6"/>
        <v>0.67443002203252322</v>
      </c>
    </row>
    <row r="12" spans="1:29" x14ac:dyDescent="0.3">
      <c r="A12" t="s">
        <v>9</v>
      </c>
      <c r="B12" s="27">
        <f>INDICIb!B12</f>
        <v>0.13043478260869565</v>
      </c>
      <c r="C12">
        <v>13</v>
      </c>
      <c r="D12">
        <f t="shared" si="0"/>
        <v>217</v>
      </c>
      <c r="E12">
        <v>20</v>
      </c>
      <c r="F12" s="120">
        <v>-5.2934557258806398</v>
      </c>
      <c r="G12" s="120">
        <v>919.03919945999996</v>
      </c>
      <c r="H12" s="120">
        <v>-3844.2488268000002</v>
      </c>
      <c r="I12" s="120">
        <v>8894.1204860399994</v>
      </c>
      <c r="J12" s="120">
        <v>-11457.67792376</v>
      </c>
      <c r="K12" s="120">
        <v>7667.34478924</v>
      </c>
      <c r="L12" s="120">
        <v>-2073.4578507699998</v>
      </c>
      <c r="M12" s="120"/>
      <c r="O12">
        <f t="shared" si="1"/>
        <v>-5.2934557258806398</v>
      </c>
      <c r="P12">
        <f t="shared" si="1"/>
        <v>119.87467819043478</v>
      </c>
      <c r="Q12">
        <f t="shared" si="1"/>
        <v>-65.403099132703218</v>
      </c>
      <c r="R12">
        <f t="shared" si="1"/>
        <v>19.737096500622993</v>
      </c>
      <c r="S12">
        <f t="shared" si="1"/>
        <v>-3.3164257983088969</v>
      </c>
      <c r="T12">
        <f t="shared" si="1"/>
        <v>0.2894756826641029</v>
      </c>
      <c r="U12">
        <f t="shared" si="1"/>
        <v>-1.0210704873136066E-2</v>
      </c>
      <c r="V12">
        <f t="shared" si="1"/>
        <v>0</v>
      </c>
      <c r="X12">
        <f t="shared" si="2"/>
        <v>65.878059011955997</v>
      </c>
      <c r="Y12">
        <f t="shared" si="3"/>
        <v>65.878059011955997</v>
      </c>
      <c r="Z12" s="4">
        <f>IF(B12&lt;=0.99,MAX(0,Y12),100)</f>
        <v>65.878059011955997</v>
      </c>
      <c r="AB12">
        <f t="shared" si="5"/>
        <v>0.78932236604186912</v>
      </c>
      <c r="AC12">
        <f t="shared" si="6"/>
        <v>0.78932236604186912</v>
      </c>
    </row>
    <row r="13" spans="1:29" x14ac:dyDescent="0.3">
      <c r="A13" t="s">
        <v>10</v>
      </c>
      <c r="B13" s="27">
        <f>INDICIb!B13</f>
        <v>0.13043478260869565</v>
      </c>
      <c r="C13">
        <v>11</v>
      </c>
      <c r="D13">
        <f t="shared" si="0"/>
        <v>217</v>
      </c>
      <c r="E13">
        <v>20</v>
      </c>
      <c r="F13" s="120">
        <v>-0.40746425900994798</v>
      </c>
      <c r="G13" s="120">
        <v>154.10451191000001</v>
      </c>
      <c r="H13" s="120">
        <v>993.80785214000002</v>
      </c>
      <c r="I13" s="120">
        <v>-3520.2100983199998</v>
      </c>
      <c r="J13" s="120">
        <v>4085.1667314699998</v>
      </c>
      <c r="K13" s="120">
        <v>-1614.88170539</v>
      </c>
      <c r="L13" s="120"/>
      <c r="M13" s="120"/>
      <c r="O13">
        <f t="shared" si="1"/>
        <v>-0.40746425900994798</v>
      </c>
      <c r="P13">
        <f t="shared" si="1"/>
        <v>20.100588510000001</v>
      </c>
      <c r="Q13">
        <f t="shared" si="1"/>
        <v>16.907884062873347</v>
      </c>
      <c r="R13">
        <f t="shared" si="1"/>
        <v>-7.8117590741053657</v>
      </c>
      <c r="S13">
        <f t="shared" si="1"/>
        <v>1.1824518396127444</v>
      </c>
      <c r="T13">
        <f t="shared" si="1"/>
        <v>-6.0968822576697668E-2</v>
      </c>
      <c r="U13">
        <f t="shared" si="1"/>
        <v>0</v>
      </c>
      <c r="V13">
        <f t="shared" si="1"/>
        <v>0</v>
      </c>
      <c r="X13">
        <f t="shared" si="2"/>
        <v>29.910732256794084</v>
      </c>
      <c r="Y13">
        <f t="shared" si="3"/>
        <v>29.910732256794084</v>
      </c>
      <c r="Z13" s="34">
        <f>IF(B13&gt;=0.98,100,MAX(0,Y13))</f>
        <v>29.910732256794084</v>
      </c>
      <c r="AB13">
        <f t="shared" si="5"/>
        <v>0.30324244684307367</v>
      </c>
      <c r="AC13">
        <f t="shared" si="6"/>
        <v>0.30324244684307367</v>
      </c>
    </row>
    <row r="14" spans="1:29" x14ac:dyDescent="0.3">
      <c r="A14" t="s">
        <v>11</v>
      </c>
      <c r="B14" s="27">
        <f>INDICIb!B14</f>
        <v>4.3478260869565216E-2</v>
      </c>
      <c r="C14">
        <v>11</v>
      </c>
      <c r="D14">
        <f t="shared" si="0"/>
        <v>217</v>
      </c>
      <c r="E14">
        <v>20</v>
      </c>
      <c r="F14" s="120">
        <v>-2.0608069431113401</v>
      </c>
      <c r="G14" s="120">
        <v>737.05526615999997</v>
      </c>
      <c r="H14" s="120">
        <v>-3203.03910864</v>
      </c>
      <c r="I14" s="120">
        <v>9147.6312577600002</v>
      </c>
      <c r="J14" s="120">
        <v>-16027.435316290001</v>
      </c>
      <c r="K14" s="120">
        <v>16258.12759803</v>
      </c>
      <c r="L14" s="120">
        <v>-8725.0109981500009</v>
      </c>
      <c r="M14" s="120">
        <v>1914.71538676</v>
      </c>
      <c r="O14">
        <f t="shared" si="1"/>
        <v>-2.0608069431113401</v>
      </c>
      <c r="P14">
        <f t="shared" si="1"/>
        <v>32.045881137391305</v>
      </c>
      <c r="Q14">
        <f t="shared" si="1"/>
        <v>-6.0548943452551978</v>
      </c>
      <c r="R14">
        <f t="shared" si="1"/>
        <v>0.75183950503493047</v>
      </c>
      <c r="S14">
        <f t="shared" si="1"/>
        <v>-5.7273363503882554E-2</v>
      </c>
      <c r="T14">
        <f t="shared" si="1"/>
        <v>2.5259883753911182E-3</v>
      </c>
      <c r="U14">
        <f t="shared" si="1"/>
        <v>-5.8938484830188702E-5</v>
      </c>
      <c r="V14">
        <f t="shared" si="1"/>
        <v>5.6235346468261969E-7</v>
      </c>
      <c r="X14">
        <f t="shared" si="2"/>
        <v>24.627213602799841</v>
      </c>
      <c r="Y14">
        <f t="shared" si="3"/>
        <v>24.627213602799841</v>
      </c>
      <c r="Z14" s="34">
        <f>IF(B14&gt;=0.995,100,MAX(0,Y14))</f>
        <v>24.627213602799841</v>
      </c>
      <c r="AB14">
        <f t="shared" si="5"/>
        <v>0.2496768199362196</v>
      </c>
      <c r="AC14">
        <f t="shared" si="6"/>
        <v>0.2496768199362196</v>
      </c>
    </row>
    <row r="15" spans="1:29" s="28" customFormat="1" x14ac:dyDescent="0.3">
      <c r="A15" s="28" t="s">
        <v>12</v>
      </c>
      <c r="B15" s="27">
        <f>INDICIb!B15</f>
        <v>27.264127826086956</v>
      </c>
      <c r="C15" s="28">
        <v>75</v>
      </c>
      <c r="D15" s="28">
        <f t="shared" si="0"/>
        <v>217</v>
      </c>
      <c r="E15" s="28">
        <v>20</v>
      </c>
      <c r="F15">
        <v>2.3273471407569999</v>
      </c>
      <c r="G15" s="35">
        <v>1.0461528200000001</v>
      </c>
      <c r="H15" s="35">
        <v>-7.7824368500000003E-3</v>
      </c>
      <c r="I15" s="35">
        <v>3.62356573E-5</v>
      </c>
      <c r="J15" s="35">
        <v>-9.5748765599999997E-8</v>
      </c>
      <c r="K15" s="35">
        <v>1.29168881E-10</v>
      </c>
      <c r="L15" s="35">
        <v>-6.8695916999999997E-14</v>
      </c>
      <c r="M15" s="29"/>
      <c r="O15" s="28">
        <f t="shared" si="1"/>
        <v>2.3273471407569999</v>
      </c>
      <c r="P15" s="28">
        <f t="shared" si="1"/>
        <v>28.522444210101341</v>
      </c>
      <c r="Q15" s="28">
        <f t="shared" si="1"/>
        <v>-5.7849395325993136</v>
      </c>
      <c r="R15" s="28">
        <f t="shared" si="1"/>
        <v>0.73436331125195808</v>
      </c>
      <c r="S15" s="28">
        <f t="shared" si="1"/>
        <v>-5.2905353518857119E-2</v>
      </c>
      <c r="T15" s="28">
        <f t="shared" si="1"/>
        <v>1.9458795034363067E-3</v>
      </c>
      <c r="U15" s="28">
        <f t="shared" si="1"/>
        <v>-2.821503417788463E-5</v>
      </c>
      <c r="V15" s="28">
        <f t="shared" si="1"/>
        <v>0</v>
      </c>
      <c r="X15" s="28">
        <f t="shared" si="2"/>
        <v>25.748227440461385</v>
      </c>
      <c r="Y15" s="28">
        <f t="shared" si="3"/>
        <v>25.748227440461385</v>
      </c>
      <c r="Z15" s="28">
        <f t="shared" si="4"/>
        <v>25.748227440461385</v>
      </c>
      <c r="AB15" s="28">
        <f t="shared" si="5"/>
        <v>1.7798313898936442</v>
      </c>
    </row>
    <row r="16" spans="1:29" s="28" customFormat="1" x14ac:dyDescent="0.3">
      <c r="B16" s="30">
        <f>B15</f>
        <v>27.264127826086956</v>
      </c>
      <c r="C16" s="28">
        <v>75</v>
      </c>
      <c r="D16" s="28">
        <f t="shared" si="0"/>
        <v>217</v>
      </c>
      <c r="E16" s="28">
        <v>20</v>
      </c>
      <c r="F16">
        <v>74.443268653359695</v>
      </c>
      <c r="G16" s="35">
        <v>3.8087170199999999E-2</v>
      </c>
      <c r="H16" s="35">
        <v>-2.2986028999999999E-5</v>
      </c>
      <c r="I16" s="35">
        <v>6.3196364999999996E-9</v>
      </c>
      <c r="J16" s="35">
        <v>-6.4953252100000003E-13</v>
      </c>
      <c r="K16" s="29"/>
      <c r="L16" s="29"/>
      <c r="M16" s="29"/>
      <c r="N16" s="31">
        <v>570</v>
      </c>
      <c r="O16" s="28">
        <f t="shared" si="1"/>
        <v>74.443268653359695</v>
      </c>
      <c r="P16" s="28">
        <f t="shared" si="1"/>
        <v>1.0384134768667299</v>
      </c>
      <c r="Q16" s="28">
        <f t="shared" si="1"/>
        <v>-1.7086266220017483E-2</v>
      </c>
      <c r="R16" s="28">
        <f t="shared" si="1"/>
        <v>1.2807575553621143E-4</v>
      </c>
      <c r="S16" s="28">
        <f t="shared" si="1"/>
        <v>-3.5889494167535762E-7</v>
      </c>
      <c r="T16" s="28">
        <f t="shared" si="1"/>
        <v>0</v>
      </c>
      <c r="U16" s="28">
        <f t="shared" si="1"/>
        <v>0</v>
      </c>
      <c r="V16" s="28">
        <f t="shared" si="1"/>
        <v>0</v>
      </c>
      <c r="X16" s="28">
        <f t="shared" si="2"/>
        <v>75.464723580867016</v>
      </c>
      <c r="Y16" s="28">
        <f t="shared" si="3"/>
        <v>75.464723580867016</v>
      </c>
      <c r="Z16" s="28">
        <f t="shared" si="4"/>
        <v>75.464723580867016</v>
      </c>
      <c r="AB16" s="28">
        <f t="shared" si="5"/>
        <v>5.2164555470645402</v>
      </c>
      <c r="AC16" s="32"/>
    </row>
    <row r="17" spans="1:34" s="28" customFormat="1" x14ac:dyDescent="0.3">
      <c r="B17" s="30">
        <f>B16</f>
        <v>27.264127826086956</v>
      </c>
      <c r="C17" s="28">
        <v>75</v>
      </c>
      <c r="D17" s="28">
        <f t="shared" si="0"/>
        <v>217</v>
      </c>
      <c r="E17" s="28">
        <v>20</v>
      </c>
      <c r="F17"/>
      <c r="G17" s="35"/>
      <c r="H17" s="35"/>
      <c r="I17" s="35"/>
      <c r="J17" s="35"/>
      <c r="K17" s="29"/>
      <c r="L17" s="29"/>
      <c r="M17" s="29"/>
      <c r="N17" s="31"/>
      <c r="Z17" s="28">
        <v>100</v>
      </c>
      <c r="AB17" s="28">
        <f t="shared" si="5"/>
        <v>6.912442396313363</v>
      </c>
      <c r="AC17" s="32"/>
      <c r="AH17" s="28">
        <f>IF(B16&gt;570,AB16,AB15)</f>
        <v>1.7798313898936442</v>
      </c>
    </row>
    <row r="18" spans="1:34" s="28" customFormat="1" x14ac:dyDescent="0.3">
      <c r="B18" s="30"/>
      <c r="F18" s="29"/>
      <c r="G18" s="29"/>
      <c r="H18" s="29"/>
      <c r="I18" s="29"/>
      <c r="J18" s="29"/>
      <c r="K18" s="29"/>
      <c r="L18" s="29"/>
      <c r="M18" s="29"/>
      <c r="N18" s="31"/>
      <c r="AC18" s="32">
        <f>IF(B15&lt;=3300,AH17,AB17)</f>
        <v>1.7798313898936442</v>
      </c>
    </row>
    <row r="19" spans="1:34" x14ac:dyDescent="0.3">
      <c r="A19" t="s">
        <v>19</v>
      </c>
      <c r="F19" s="4"/>
      <c r="G19" s="4"/>
      <c r="H19" s="4"/>
      <c r="I19" s="4"/>
      <c r="J19" s="4"/>
      <c r="K19" s="4"/>
      <c r="L19" s="4"/>
      <c r="M19" s="4"/>
    </row>
    <row r="20" spans="1:34" x14ac:dyDescent="0.3">
      <c r="A20" t="s">
        <v>20</v>
      </c>
      <c r="B20" s="27">
        <f>INDICIb!B17</f>
        <v>0.34782608695652173</v>
      </c>
      <c r="C20">
        <v>20</v>
      </c>
      <c r="D20">
        <f>SUM(C$20:C$22)</f>
        <v>200</v>
      </c>
      <c r="E20">
        <v>20</v>
      </c>
      <c r="F20" s="120">
        <v>3.04568592701315E-2</v>
      </c>
      <c r="G20" s="120">
        <v>87.380718079999994</v>
      </c>
      <c r="H20" s="120">
        <v>159.21824179999999</v>
      </c>
      <c r="I20" s="120">
        <v>393.39545562000001</v>
      </c>
      <c r="J20" s="120">
        <v>-2814.9689213900001</v>
      </c>
      <c r="K20" s="120">
        <v>5029.1673721200004</v>
      </c>
      <c r="L20" s="120">
        <v>-3838.0017309499999</v>
      </c>
      <c r="M20" s="120">
        <v>1083.9343824600001</v>
      </c>
      <c r="O20">
        <f>$B20^F$1*F20</f>
        <v>3.04568592701315E-2</v>
      </c>
      <c r="P20">
        <f t="shared" ref="P20:V22" si="7">$B20^G$1*G20</f>
        <v>30.393293245217389</v>
      </c>
      <c r="Q20">
        <f t="shared" si="7"/>
        <v>19.262698440831755</v>
      </c>
      <c r="R20">
        <f t="shared" si="7"/>
        <v>16.554489461448178</v>
      </c>
      <c r="S20">
        <f t="shared" si="7"/>
        <v>-41.202370996435256</v>
      </c>
      <c r="T20">
        <f t="shared" si="7"/>
        <v>25.603942557074433</v>
      </c>
      <c r="U20">
        <f t="shared" si="7"/>
        <v>-6.7963865556828349</v>
      </c>
      <c r="V20">
        <f t="shared" si="7"/>
        <v>0.66763339073597838</v>
      </c>
      <c r="X20">
        <f>SUM(O20:V20)</f>
        <v>44.513756402459784</v>
      </c>
      <c r="Y20">
        <f>MIN(X20,100)</f>
        <v>44.513756402459784</v>
      </c>
      <c r="Z20">
        <f>MAX(0,Y20)</f>
        <v>44.513756402459784</v>
      </c>
      <c r="AB20">
        <f>IF(B20&gt;0,Z20*C20/D20*E20/100,0)</f>
        <v>0.89027512804919562</v>
      </c>
      <c r="AC20">
        <f>AB20</f>
        <v>0.89027512804919562</v>
      </c>
    </row>
    <row r="21" spans="1:34" x14ac:dyDescent="0.3">
      <c r="A21" t="s">
        <v>21</v>
      </c>
      <c r="B21" s="27">
        <f>INDICIb!B18</f>
        <v>0.21739130434782608</v>
      </c>
      <c r="C21">
        <v>60</v>
      </c>
      <c r="D21">
        <f>SUM(C$20:C$22)</f>
        <v>200</v>
      </c>
      <c r="E21">
        <v>20</v>
      </c>
      <c r="F21" s="120">
        <v>-0.68531707702178501</v>
      </c>
      <c r="G21" s="120">
        <v>392.31667162999997</v>
      </c>
      <c r="H21" s="120">
        <v>-1681.98609427</v>
      </c>
      <c r="I21" s="120">
        <v>6127.5142512499997</v>
      </c>
      <c r="J21" s="120">
        <v>-13129.327266099999</v>
      </c>
      <c r="K21" s="120">
        <v>15794.30941371</v>
      </c>
      <c r="L21" s="120">
        <v>-9984.0589152199991</v>
      </c>
      <c r="M21" s="120">
        <v>2582.3828822300002</v>
      </c>
      <c r="O21">
        <f>$B21^F$1*F21</f>
        <v>-0.68531707702178501</v>
      </c>
      <c r="P21">
        <f t="shared" si="7"/>
        <v>85.286232963043474</v>
      </c>
      <c r="Q21">
        <f t="shared" si="7"/>
        <v>-79.488945853969753</v>
      </c>
      <c r="R21">
        <f t="shared" si="7"/>
        <v>62.952188822737732</v>
      </c>
      <c r="S21">
        <f t="shared" si="7"/>
        <v>-29.323185456428828</v>
      </c>
      <c r="T21">
        <f t="shared" si="7"/>
        <v>7.6685187408197084</v>
      </c>
      <c r="U21">
        <f t="shared" si="7"/>
        <v>-1.0538047334610359</v>
      </c>
      <c r="V21">
        <f t="shared" si="7"/>
        <v>5.9253746136084605E-2</v>
      </c>
      <c r="X21">
        <f>SUM(O21:V21)</f>
        <v>45.414941151855594</v>
      </c>
      <c r="Y21">
        <f>MIN(X21,100)</f>
        <v>45.414941151855594</v>
      </c>
      <c r="Z21">
        <f>MAX(0,Y21)</f>
        <v>45.414941151855594</v>
      </c>
      <c r="AB21">
        <f>IF(B21&gt;0,Z21*C21/D21*E21/100,0)</f>
        <v>2.7248964691113362</v>
      </c>
      <c r="AC21">
        <f>AB21</f>
        <v>2.7248964691113362</v>
      </c>
    </row>
    <row r="22" spans="1:34" x14ac:dyDescent="0.3">
      <c r="A22" t="s">
        <v>22</v>
      </c>
      <c r="B22" s="27">
        <f>INDICIb!B19</f>
        <v>8.6956521739130432E-2</v>
      </c>
      <c r="C22">
        <v>120</v>
      </c>
      <c r="D22">
        <f>SUM(C$20:C$22)</f>
        <v>200</v>
      </c>
      <c r="E22">
        <v>20</v>
      </c>
      <c r="F22" s="120">
        <v>0.65217438604171396</v>
      </c>
      <c r="G22" s="120">
        <v>603.98580303000006</v>
      </c>
      <c r="H22" s="120">
        <v>-2735.9959857600002</v>
      </c>
      <c r="I22" s="120">
        <v>8123.8029528500001</v>
      </c>
      <c r="J22" s="120">
        <v>-13261.91297843</v>
      </c>
      <c r="K22" s="120">
        <v>10775.26763914</v>
      </c>
      <c r="L22" s="120">
        <v>-3407.1371997800002</v>
      </c>
      <c r="M22" s="120"/>
      <c r="O22">
        <f>$B22^F$1*F22</f>
        <v>0.65217438604171396</v>
      </c>
      <c r="P22">
        <f t="shared" si="7"/>
        <v>52.520504611304354</v>
      </c>
      <c r="Q22">
        <f t="shared" si="7"/>
        <v>-20.688060383818524</v>
      </c>
      <c r="R22">
        <f t="shared" si="7"/>
        <v>5.3415323105777919</v>
      </c>
      <c r="S22">
        <f t="shared" si="7"/>
        <v>-0.75825417881897206</v>
      </c>
      <c r="T22">
        <f t="shared" si="7"/>
        <v>5.3572123867929339E-2</v>
      </c>
      <c r="U22">
        <f t="shared" si="7"/>
        <v>-1.472999434521719E-3</v>
      </c>
      <c r="V22">
        <f t="shared" si="7"/>
        <v>0</v>
      </c>
      <c r="X22">
        <f>SUM(O22:V22)</f>
        <v>37.119995869719773</v>
      </c>
      <c r="Y22">
        <f>MIN(X22,100)</f>
        <v>37.119995869719773</v>
      </c>
      <c r="Z22">
        <f>MAX(0,Y22)</f>
        <v>37.119995869719773</v>
      </c>
      <c r="AB22">
        <f>IF(B22&gt;0,Z22*C22/D22*E22/100,0)</f>
        <v>4.4543995043663731</v>
      </c>
      <c r="AC22">
        <f>AB22</f>
        <v>4.4543995043663731</v>
      </c>
    </row>
    <row r="23" spans="1:34" x14ac:dyDescent="0.3">
      <c r="A23" t="s">
        <v>23</v>
      </c>
      <c r="F23" s="4"/>
      <c r="G23" s="4"/>
      <c r="H23" s="4"/>
      <c r="I23" s="4"/>
      <c r="J23" s="4"/>
      <c r="K23" s="4"/>
      <c r="L23" s="4"/>
      <c r="M23" s="4"/>
    </row>
    <row r="24" spans="1:34" s="28" customFormat="1" x14ac:dyDescent="0.3">
      <c r="A24" s="28" t="s">
        <v>13</v>
      </c>
      <c r="B24" s="27">
        <f>INDICIb!B21</f>
        <v>627.07493999999997</v>
      </c>
      <c r="C24" s="28">
        <v>85</v>
      </c>
      <c r="D24" s="28">
        <v>100</v>
      </c>
      <c r="E24" s="28">
        <v>40</v>
      </c>
      <c r="F24" s="122">
        <v>-10.170510274407199</v>
      </c>
      <c r="G24" s="122">
        <v>0.29483802799999997</v>
      </c>
      <c r="H24" s="122">
        <v>-4.6389899200000002E-4</v>
      </c>
      <c r="I24" s="122">
        <v>3.6557326299999999E-7</v>
      </c>
      <c r="J24" s="122">
        <v>-1.11709769E-10</v>
      </c>
      <c r="K24" s="29"/>
      <c r="L24" s="29"/>
      <c r="M24" s="29"/>
      <c r="O24" s="28">
        <f t="shared" ref="O24:V31" si="8">$B24^F$1*F24</f>
        <v>-10.170510274407199</v>
      </c>
      <c r="P24" s="28">
        <f t="shared" si="8"/>
        <v>184.88553871781829</v>
      </c>
      <c r="Q24" s="28">
        <f t="shared" si="8"/>
        <v>-182.41574422766382</v>
      </c>
      <c r="R24" s="28">
        <f t="shared" si="8"/>
        <v>90.143156390688858</v>
      </c>
      <c r="S24" s="28">
        <f t="shared" si="8"/>
        <v>-17.273046208346209</v>
      </c>
      <c r="T24" s="28">
        <f t="shared" si="8"/>
        <v>0</v>
      </c>
      <c r="U24" s="28">
        <f t="shared" si="8"/>
        <v>0</v>
      </c>
      <c r="V24" s="28">
        <f t="shared" si="8"/>
        <v>0</v>
      </c>
      <c r="X24" s="28">
        <f t="shared" ref="X24:X31" si="9">SUM(O24:V24)</f>
        <v>65.169394398089906</v>
      </c>
      <c r="Y24" s="28">
        <f t="shared" ref="Y24:Y34" si="10">MIN(X24,100)</f>
        <v>65.169394398089906</v>
      </c>
      <c r="Z24" s="28">
        <f t="shared" ref="Z24:Z34" si="11">MAX(0,Y24)</f>
        <v>65.169394398089906</v>
      </c>
      <c r="AB24" s="28">
        <f>IF(B24&gt;0,Z24*C24/D24*E24/100,0)</f>
        <v>22.157594095350568</v>
      </c>
      <c r="AD24" s="28">
        <f>IF(B24&lt;=1100,1,0)</f>
        <v>1</v>
      </c>
      <c r="AE24" s="28">
        <v>1</v>
      </c>
      <c r="AF24" s="28">
        <v>1</v>
      </c>
      <c r="AG24" s="33">
        <f>AD24*AE24*AF24</f>
        <v>1</v>
      </c>
      <c r="AH24" s="28">
        <f>AG24*AB24</f>
        <v>22.157594095350568</v>
      </c>
    </row>
    <row r="25" spans="1:34" s="28" customFormat="1" x14ac:dyDescent="0.3">
      <c r="B25" s="30">
        <f>B24</f>
        <v>627.07493999999997</v>
      </c>
      <c r="C25" s="28">
        <v>85</v>
      </c>
      <c r="D25" s="28">
        <v>100</v>
      </c>
      <c r="E25" s="28">
        <v>40</v>
      </c>
      <c r="F25" s="122">
        <v>52.021044796042098</v>
      </c>
      <c r="G25" s="122">
        <v>3.1438007400000002E-2</v>
      </c>
      <c r="H25" s="122">
        <v>-1.04392276E-5</v>
      </c>
      <c r="I25" s="122">
        <v>1.68019116E-9</v>
      </c>
      <c r="J25" s="122">
        <v>-1.05440525E-13</v>
      </c>
      <c r="K25" s="29"/>
      <c r="L25" s="29"/>
      <c r="M25" s="29"/>
      <c r="O25" s="28">
        <f t="shared" si="8"/>
        <v>52.021044796042098</v>
      </c>
      <c r="P25" s="28">
        <f t="shared" si="8"/>
        <v>19.713986604074556</v>
      </c>
      <c r="Q25" s="28">
        <f t="shared" si="8"/>
        <v>-4.1049441896954342</v>
      </c>
      <c r="R25" s="28">
        <f t="shared" si="8"/>
        <v>0.41430200135323608</v>
      </c>
      <c r="S25" s="28">
        <f t="shared" si="8"/>
        <v>-1.6303668666231723E-2</v>
      </c>
      <c r="T25" s="28">
        <f t="shared" si="8"/>
        <v>0</v>
      </c>
      <c r="U25" s="28">
        <f t="shared" si="8"/>
        <v>0</v>
      </c>
      <c r="V25" s="28">
        <f t="shared" si="8"/>
        <v>0</v>
      </c>
      <c r="X25" s="28">
        <f t="shared" si="9"/>
        <v>68.028085543108233</v>
      </c>
      <c r="Y25" s="28">
        <f t="shared" si="10"/>
        <v>68.028085543108233</v>
      </c>
      <c r="Z25" s="28">
        <f t="shared" si="11"/>
        <v>68.028085543108233</v>
      </c>
      <c r="AB25" s="28">
        <f>IF(B25&gt;0,Z25*C25/D25*E25/100,0)</f>
        <v>23.129549084656801</v>
      </c>
      <c r="AC25" s="32"/>
      <c r="AD25" s="28">
        <f>IF(B25&gt;1100,1,0)</f>
        <v>0</v>
      </c>
      <c r="AE25" s="28">
        <f>IF(B25&lt;=5000,1,0)</f>
        <v>1</v>
      </c>
      <c r="AF25" s="28">
        <v>1</v>
      </c>
      <c r="AG25" s="33">
        <f t="shared" ref="AG25:AG27" si="12">AD25*AE25*AF25</f>
        <v>0</v>
      </c>
      <c r="AH25" s="28">
        <f>AG25*AB25</f>
        <v>0</v>
      </c>
    </row>
    <row r="26" spans="1:34" s="28" customFormat="1" x14ac:dyDescent="0.3">
      <c r="B26" s="30">
        <f>B24</f>
        <v>627.07493999999997</v>
      </c>
      <c r="C26" s="28">
        <v>85</v>
      </c>
      <c r="D26" s="28">
        <v>100</v>
      </c>
      <c r="E26" s="28">
        <v>40</v>
      </c>
      <c r="F26" s="122">
        <v>87.298610406568102</v>
      </c>
      <c r="G26" s="122">
        <v>1.3523649600000001E-3</v>
      </c>
      <c r="H26" s="122">
        <v>-5.86418538E-8</v>
      </c>
      <c r="I26" s="122">
        <v>8.8977855400000002E-13</v>
      </c>
      <c r="J26" s="122"/>
      <c r="K26" s="29"/>
      <c r="L26" s="29"/>
      <c r="M26" s="29"/>
      <c r="O26" s="28">
        <f t="shared" si="8"/>
        <v>87.298610406568102</v>
      </c>
      <c r="P26" s="28">
        <f t="shared" si="8"/>
        <v>0.84803417615010235</v>
      </c>
      <c r="Q26" s="28">
        <f t="shared" si="8"/>
        <v>-2.305932452600987E-2</v>
      </c>
      <c r="R26" s="28">
        <f t="shared" si="8"/>
        <v>2.1940184215907222E-4</v>
      </c>
      <c r="S26" s="28">
        <f t="shared" si="8"/>
        <v>0</v>
      </c>
      <c r="T26" s="28">
        <f t="shared" si="8"/>
        <v>0</v>
      </c>
      <c r="U26" s="28">
        <f t="shared" si="8"/>
        <v>0</v>
      </c>
      <c r="V26" s="28">
        <f t="shared" si="8"/>
        <v>0</v>
      </c>
      <c r="X26" s="28">
        <f t="shared" si="9"/>
        <v>88.123804660034352</v>
      </c>
      <c r="Y26" s="28">
        <f t="shared" si="10"/>
        <v>88.123804660034352</v>
      </c>
      <c r="Z26" s="28">
        <f t="shared" si="11"/>
        <v>88.123804660034352</v>
      </c>
      <c r="AB26" s="28">
        <f>IF(B26&gt;0,Z26*C26/D26*E26/100,0)</f>
        <v>29.962093584411676</v>
      </c>
      <c r="AC26" s="32"/>
      <c r="AD26" s="28">
        <f>IF(B26&gt;1100,1,0)</f>
        <v>0</v>
      </c>
      <c r="AE26" s="28">
        <f>IF(B26&gt;5000,1,0)</f>
        <v>0</v>
      </c>
      <c r="AF26" s="28">
        <f>IF(B26&lt;=30000,1,0)</f>
        <v>1</v>
      </c>
      <c r="AG26" s="33">
        <f t="shared" si="12"/>
        <v>0</v>
      </c>
      <c r="AH26" s="28">
        <f>AG26*AB26</f>
        <v>0</v>
      </c>
    </row>
    <row r="27" spans="1:34" s="28" customFormat="1" x14ac:dyDescent="0.3">
      <c r="B27" s="30">
        <f>B24</f>
        <v>627.07493999999997</v>
      </c>
      <c r="F27" s="122"/>
      <c r="G27" s="122"/>
      <c r="H27" s="122"/>
      <c r="I27" s="122"/>
      <c r="J27" s="122"/>
      <c r="K27" s="29"/>
      <c r="L27" s="29"/>
      <c r="M27" s="29"/>
      <c r="AB27" s="28">
        <v>34</v>
      </c>
      <c r="AC27" s="32"/>
      <c r="AD27" s="28">
        <f>IF(B27&gt;1100,1,0)</f>
        <v>0</v>
      </c>
      <c r="AE27" s="28">
        <f>IF(B27&gt;5000,1,0)</f>
        <v>0</v>
      </c>
      <c r="AF27" s="28">
        <f>IF(B27&gt;30000,1,0)</f>
        <v>0</v>
      </c>
      <c r="AG27" s="33">
        <f t="shared" si="12"/>
        <v>0</v>
      </c>
      <c r="AH27" s="28">
        <f>AG27*AB27</f>
        <v>0</v>
      </c>
    </row>
    <row r="28" spans="1:34" s="28" customFormat="1" x14ac:dyDescent="0.3">
      <c r="B28" s="30"/>
      <c r="F28" s="29"/>
      <c r="G28" s="29"/>
      <c r="H28" s="29"/>
      <c r="I28" s="29"/>
      <c r="J28" s="29"/>
      <c r="K28" s="29"/>
      <c r="L28" s="29"/>
      <c r="M28" s="29"/>
      <c r="AC28" s="32">
        <f>AH28</f>
        <v>22.157594095350568</v>
      </c>
      <c r="AH28" s="32">
        <f>SUM(AH24:AH27)</f>
        <v>22.157594095350568</v>
      </c>
    </row>
    <row r="29" spans="1:34" s="28" customFormat="1" x14ac:dyDescent="0.3">
      <c r="B29" s="30"/>
      <c r="F29" s="29"/>
      <c r="G29" s="29"/>
      <c r="H29" s="29"/>
      <c r="I29" s="29"/>
      <c r="J29" s="29"/>
      <c r="K29" s="29"/>
      <c r="L29" s="29"/>
      <c r="M29" s="29"/>
      <c r="AC29" s="32"/>
      <c r="AH29" s="32"/>
    </row>
    <row r="30" spans="1:34" x14ac:dyDescent="0.3">
      <c r="A30" t="s">
        <v>14</v>
      </c>
      <c r="B30" s="66">
        <f>-INDICIb!B22</f>
        <v>-0.45</v>
      </c>
      <c r="C30">
        <v>10</v>
      </c>
      <c r="D30">
        <v>100</v>
      </c>
      <c r="E30">
        <v>40</v>
      </c>
      <c r="F30">
        <v>99.932967418419693</v>
      </c>
      <c r="G30">
        <v>439.18911714000001</v>
      </c>
      <c r="H30">
        <v>1126.5429729299999</v>
      </c>
      <c r="I30">
        <v>2008.1831949699999</v>
      </c>
      <c r="J30">
        <v>2362.6154877600002</v>
      </c>
      <c r="K30">
        <v>1687.5744931700001</v>
      </c>
      <c r="L30">
        <v>653.32675513000004</v>
      </c>
      <c r="M30">
        <v>104.45471542</v>
      </c>
      <c r="O30">
        <f t="shared" si="8"/>
        <v>99.932967418419693</v>
      </c>
      <c r="P30">
        <f t="shared" si="8"/>
        <v>-197.63510271300001</v>
      </c>
      <c r="Q30">
        <f t="shared" si="8"/>
        <v>228.12495201832499</v>
      </c>
      <c r="R30">
        <f t="shared" si="8"/>
        <v>-182.99569364164125</v>
      </c>
      <c r="S30">
        <f t="shared" si="8"/>
        <v>96.882001344958525</v>
      </c>
      <c r="T30">
        <f t="shared" si="8"/>
        <v>-31.14049570224855</v>
      </c>
      <c r="U30">
        <f t="shared" si="8"/>
        <v>5.4250722511412883</v>
      </c>
      <c r="V30">
        <f t="shared" si="8"/>
        <v>-0.39031536387318916</v>
      </c>
      <c r="X30">
        <f t="shared" si="9"/>
        <v>18.203385612081508</v>
      </c>
      <c r="Y30">
        <f t="shared" si="10"/>
        <v>18.203385612081508</v>
      </c>
      <c r="Z30">
        <f t="shared" si="11"/>
        <v>18.203385612081508</v>
      </c>
      <c r="AB30">
        <f>IF(B30&lt;0,Z30*C30/D30*E30/100,0)</f>
        <v>0.72813542448326019</v>
      </c>
      <c r="AC30">
        <f>IF(Z30&lt;=99,AB30,C30*E30/D30)</f>
        <v>0.72813542448326019</v>
      </c>
    </row>
    <row r="31" spans="1:34" x14ac:dyDescent="0.3">
      <c r="A31" t="s">
        <v>15</v>
      </c>
      <c r="B31" s="66">
        <f>1-'INDICI-PUNTEGGI'!B23</f>
        <v>1</v>
      </c>
      <c r="C31" s="1">
        <v>5</v>
      </c>
      <c r="D31" s="1">
        <v>100</v>
      </c>
      <c r="E31" s="1">
        <v>40</v>
      </c>
      <c r="F31" s="112">
        <v>-0.28032299411070399</v>
      </c>
      <c r="G31" s="112">
        <v>-48.369928600000001</v>
      </c>
      <c r="H31" s="112">
        <v>745.82305640000004</v>
      </c>
      <c r="I31" s="112">
        <v>-3759.9555975200001</v>
      </c>
      <c r="J31" s="112">
        <v>8447.8081307600005</v>
      </c>
      <c r="K31" s="112">
        <v>-8741.7420528300008</v>
      </c>
      <c r="L31" s="120">
        <v>3458.68669219</v>
      </c>
      <c r="M31" s="34"/>
      <c r="N31" s="1"/>
      <c r="O31" s="1">
        <f t="shared" si="8"/>
        <v>-0.28032299411070399</v>
      </c>
      <c r="P31" s="1">
        <f t="shared" si="8"/>
        <v>-48.369928600000001</v>
      </c>
      <c r="Q31" s="1">
        <f t="shared" si="8"/>
        <v>745.82305640000004</v>
      </c>
      <c r="R31" s="1">
        <f t="shared" si="8"/>
        <v>-3759.9555975200001</v>
      </c>
      <c r="S31" s="1">
        <f t="shared" si="8"/>
        <v>8447.8081307600005</v>
      </c>
      <c r="T31" s="1">
        <f t="shared" si="8"/>
        <v>-8741.7420528300008</v>
      </c>
      <c r="U31" s="1">
        <f t="shared" si="8"/>
        <v>3458.68669219</v>
      </c>
      <c r="V31" s="1">
        <f t="shared" si="8"/>
        <v>0</v>
      </c>
      <c r="W31" s="1"/>
      <c r="X31" s="1">
        <f t="shared" si="9"/>
        <v>101.96997740588904</v>
      </c>
      <c r="Y31" s="1">
        <f t="shared" si="10"/>
        <v>100</v>
      </c>
      <c r="Z31" s="1">
        <f t="shared" si="11"/>
        <v>100</v>
      </c>
      <c r="AA31" s="1"/>
      <c r="AB31" s="1">
        <f>IF(B31&gt;=0.65,Z31*C31/D31*E31/100,0)</f>
        <v>2</v>
      </c>
      <c r="AC31" s="1">
        <f>AB31</f>
        <v>2</v>
      </c>
    </row>
    <row r="32" spans="1:34" x14ac:dyDescent="0.3">
      <c r="A32" t="s">
        <v>24</v>
      </c>
      <c r="F32" s="4"/>
      <c r="G32" s="4"/>
      <c r="H32" s="4"/>
      <c r="I32" s="4"/>
      <c r="J32" s="4"/>
      <c r="K32" s="4"/>
      <c r="L32" s="4"/>
      <c r="M32" s="4"/>
    </row>
    <row r="33" spans="1:29" x14ac:dyDescent="0.3">
      <c r="A33" t="s">
        <v>16</v>
      </c>
      <c r="B33" s="66">
        <f>INDICIb!B25</f>
        <v>1</v>
      </c>
      <c r="C33">
        <v>50</v>
      </c>
      <c r="D33">
        <v>100</v>
      </c>
      <c r="E33" s="126">
        <v>5</v>
      </c>
      <c r="F33">
        <v>-2.4070000884946099</v>
      </c>
      <c r="G33" s="35">
        <v>70.651313619999996</v>
      </c>
      <c r="H33" s="35">
        <v>-236.47808663999999</v>
      </c>
      <c r="I33" s="35">
        <v>1647.0331724499999</v>
      </c>
      <c r="J33" s="35">
        <v>-3687.9041218100001</v>
      </c>
      <c r="K33" s="35">
        <v>3594.9029902799998</v>
      </c>
      <c r="L33" s="35">
        <v>-1284.7496440499999</v>
      </c>
      <c r="M33" s="111"/>
      <c r="O33">
        <f t="shared" ref="O33:V34" si="13">$B33^F$1*F33</f>
        <v>-2.4070000884946099</v>
      </c>
      <c r="P33">
        <f t="shared" si="13"/>
        <v>70.651313619999996</v>
      </c>
      <c r="Q33">
        <f t="shared" si="13"/>
        <v>-236.47808663999999</v>
      </c>
      <c r="R33">
        <f t="shared" si="13"/>
        <v>1647.0331724499999</v>
      </c>
      <c r="S33">
        <f t="shared" si="13"/>
        <v>-3687.9041218100001</v>
      </c>
      <c r="T33">
        <f t="shared" si="13"/>
        <v>3594.9029902799998</v>
      </c>
      <c r="U33">
        <f t="shared" si="13"/>
        <v>-1284.7496440499999</v>
      </c>
      <c r="V33">
        <f t="shared" si="13"/>
        <v>0</v>
      </c>
      <c r="X33">
        <f>SUM(O33:V33)</f>
        <v>101.04862376150504</v>
      </c>
      <c r="Y33">
        <f t="shared" si="10"/>
        <v>100</v>
      </c>
      <c r="Z33">
        <f t="shared" si="11"/>
        <v>100</v>
      </c>
      <c r="AB33">
        <f>IF(B33&gt;0,Z33*C33/D33*E33/100,0)</f>
        <v>2.5</v>
      </c>
      <c r="AC33">
        <f>AB33</f>
        <v>2.5</v>
      </c>
    </row>
    <row r="34" spans="1:29" x14ac:dyDescent="0.3">
      <c r="A34" t="s">
        <v>17</v>
      </c>
      <c r="B34" s="66">
        <f>INDICIb!B26</f>
        <v>1</v>
      </c>
      <c r="C34">
        <v>50</v>
      </c>
      <c r="D34">
        <v>100</v>
      </c>
      <c r="E34" s="126">
        <v>5</v>
      </c>
      <c r="F34">
        <v>-1.94050080018877</v>
      </c>
      <c r="G34">
        <v>60.331084939999997</v>
      </c>
      <c r="H34">
        <v>54.740489660000001</v>
      </c>
      <c r="I34">
        <v>500.76777876</v>
      </c>
      <c r="J34">
        <v>-1800.68685514</v>
      </c>
      <c r="K34">
        <v>2141.5819624699998</v>
      </c>
      <c r="L34">
        <v>-853.96677935000002</v>
      </c>
      <c r="M34" s="4"/>
      <c r="O34">
        <f t="shared" si="13"/>
        <v>-1.94050080018877</v>
      </c>
      <c r="P34">
        <f t="shared" si="13"/>
        <v>60.331084939999997</v>
      </c>
      <c r="Q34">
        <f t="shared" si="13"/>
        <v>54.740489660000001</v>
      </c>
      <c r="R34">
        <f t="shared" si="13"/>
        <v>500.76777876</v>
      </c>
      <c r="S34">
        <f t="shared" si="13"/>
        <v>-1800.68685514</v>
      </c>
      <c r="T34">
        <f t="shared" si="13"/>
        <v>2141.5819624699998</v>
      </c>
      <c r="U34">
        <f t="shared" si="13"/>
        <v>-853.96677935000002</v>
      </c>
      <c r="V34">
        <f t="shared" si="13"/>
        <v>0</v>
      </c>
      <c r="X34">
        <f>SUM(O34:V34)</f>
        <v>100.82718053981102</v>
      </c>
      <c r="Y34">
        <f t="shared" si="10"/>
        <v>100</v>
      </c>
      <c r="Z34">
        <f t="shared" si="11"/>
        <v>100</v>
      </c>
      <c r="AB34">
        <f>IF(B34&gt;0,Z34*C34/D34*E34/100,0)</f>
        <v>2.5</v>
      </c>
      <c r="AC34">
        <f>AB34</f>
        <v>2.5</v>
      </c>
    </row>
    <row r="35" spans="1:29" x14ac:dyDescent="0.3">
      <c r="A35" t="s">
        <v>192</v>
      </c>
      <c r="F35" s="4"/>
      <c r="G35" s="4"/>
      <c r="H35" s="4"/>
      <c r="I35" s="4"/>
      <c r="J35" s="4"/>
      <c r="K35" s="4"/>
      <c r="L35" s="4"/>
      <c r="M35" s="4"/>
    </row>
    <row r="36" spans="1:29" x14ac:dyDescent="0.3">
      <c r="A36" t="s">
        <v>218</v>
      </c>
      <c r="B36" s="66">
        <f>INDICIb!B28</f>
        <v>1</v>
      </c>
      <c r="AB36">
        <f>IF('Gare Delegate'!C4=0, 0, IF('Gare Delegate'!C4=1, 1.25, IF('Gare Delegate'!C4=2, 2.5, IF('Gare Delegate'!C4=3, 3.75, IF('Gare Delegate'!C4&gt;3, 5)))))</f>
        <v>1.25</v>
      </c>
      <c r="AC36">
        <f>AB36</f>
        <v>1.25</v>
      </c>
    </row>
    <row r="37" spans="1:29" x14ac:dyDescent="0.3">
      <c r="A37" t="s">
        <v>191</v>
      </c>
      <c r="F37" s="4"/>
      <c r="G37" s="4"/>
      <c r="H37" s="4"/>
      <c r="I37" s="4"/>
      <c r="J37" s="4"/>
      <c r="K37" s="4"/>
      <c r="L37" s="4"/>
      <c r="M37" s="4"/>
    </row>
    <row r="38" spans="1:29" x14ac:dyDescent="0.3">
      <c r="A38" s="43" t="s">
        <v>171</v>
      </c>
      <c r="B38" s="168" t="s">
        <v>157</v>
      </c>
      <c r="AB38" s="63">
        <f>IF('Nuovi Criteri Premiali'!C3="SI", 1,0)</f>
        <v>1</v>
      </c>
      <c r="AC38">
        <f>AB38</f>
        <v>1</v>
      </c>
    </row>
    <row r="39" spans="1:29" x14ac:dyDescent="0.3">
      <c r="A39" s="43" t="s">
        <v>172</v>
      </c>
      <c r="B39" s="168" t="s">
        <v>157</v>
      </c>
      <c r="AB39" s="63">
        <f>IF('Nuovi Criteri Premiali'!C4="SI", 1,0)</f>
        <v>1</v>
      </c>
      <c r="AC39">
        <f t="shared" ref="AC39:AC41" si="14">AB39</f>
        <v>1</v>
      </c>
    </row>
    <row r="40" spans="1:29" x14ac:dyDescent="0.3">
      <c r="A40" s="43" t="s">
        <v>173</v>
      </c>
      <c r="B40" s="27">
        <v>0.66666666666666663</v>
      </c>
      <c r="AB40" s="63">
        <f>IF('Nuovi Criteri Premiali'!C5&lt;0.125, 0, IF('Nuovi Criteri Premiali'!C5&lt;0.4, 0.5, 1))</f>
        <v>1</v>
      </c>
      <c r="AC40">
        <f t="shared" si="14"/>
        <v>1</v>
      </c>
    </row>
    <row r="41" spans="1:29" x14ac:dyDescent="0.3">
      <c r="A41" s="53" t="s">
        <v>174</v>
      </c>
      <c r="B41" s="27">
        <v>104.33333333333333</v>
      </c>
      <c r="AB41" s="63">
        <f>IF('Nuovi Criteri Premiali'!C6&lt;=80, 7, IF('Nuovi Criteri Premiali'!C6&lt;=115, 5, 0))</f>
        <v>5</v>
      </c>
      <c r="AC41">
        <f t="shared" si="14"/>
        <v>5</v>
      </c>
    </row>
    <row r="43" spans="1:29" x14ac:dyDescent="0.3">
      <c r="F43" s="35"/>
    </row>
    <row r="44" spans="1:29" x14ac:dyDescent="0.3">
      <c r="A44" s="1" t="s">
        <v>161</v>
      </c>
      <c r="B44" s="27">
        <f>Gare!D23</f>
        <v>10</v>
      </c>
      <c r="C44">
        <v>100</v>
      </c>
      <c r="D44">
        <v>100</v>
      </c>
      <c r="E44" s="1">
        <f>0.2*'Punteggio Complessivo'!B8</f>
        <v>11.058237047118235</v>
      </c>
      <c r="F44" s="142"/>
      <c r="G44" s="142"/>
      <c r="H44" s="142"/>
      <c r="I44" s="142"/>
      <c r="J44" s="142"/>
      <c r="K44" s="142"/>
      <c r="L44" s="142"/>
      <c r="M44" s="142"/>
      <c r="AC44">
        <f>MIN(B44,E44)</f>
        <v>10</v>
      </c>
    </row>
    <row r="45" spans="1:29" x14ac:dyDescent="0.3">
      <c r="B45" t="s">
        <v>162</v>
      </c>
      <c r="D45" s="35"/>
      <c r="E45" s="1" t="s">
        <v>163</v>
      </c>
      <c r="F45" s="36"/>
      <c r="G45" s="36"/>
      <c r="H45" s="36"/>
      <c r="J45" s="35"/>
      <c r="K45" s="35"/>
      <c r="Z45" s="1" t="s">
        <v>164</v>
      </c>
    </row>
    <row r="46" spans="1:29" x14ac:dyDescent="0.3">
      <c r="D46" s="35"/>
      <c r="F46" s="36"/>
      <c r="G46" s="4"/>
      <c r="H46" s="36"/>
    </row>
    <row r="47" spans="1:29" x14ac:dyDescent="0.3">
      <c r="D47" s="35"/>
      <c r="E47" s="35"/>
      <c r="F47" s="36"/>
      <c r="G47" s="4"/>
      <c r="H47" s="36"/>
      <c r="L47" s="35"/>
      <c r="O47" s="35"/>
      <c r="Q47" s="35"/>
      <c r="S47" s="35"/>
      <c r="T47" s="35"/>
    </row>
    <row r="48" spans="1:29" x14ac:dyDescent="0.3">
      <c r="D48" s="35"/>
      <c r="E48" s="35"/>
      <c r="F48" s="36"/>
      <c r="G48" s="4"/>
      <c r="H48" s="36"/>
      <c r="L48" s="35"/>
      <c r="O48" s="35"/>
      <c r="Q48" s="35"/>
      <c r="S48" s="35"/>
      <c r="T48" s="35"/>
    </row>
    <row r="49" spans="4:20" x14ac:dyDescent="0.3">
      <c r="D49" s="35"/>
      <c r="E49" s="35"/>
      <c r="F49" s="36"/>
      <c r="G49" s="4"/>
      <c r="H49" s="36"/>
      <c r="L49" s="35"/>
      <c r="O49" s="35"/>
      <c r="Q49" s="35"/>
      <c r="S49" s="35"/>
      <c r="T49" s="35"/>
    </row>
    <row r="50" spans="4:20" x14ac:dyDescent="0.3">
      <c r="D50" s="35"/>
      <c r="E50" s="35"/>
      <c r="F50" s="36"/>
      <c r="G50" s="4"/>
      <c r="H50" s="36"/>
      <c r="L50" s="35"/>
      <c r="O50" s="35"/>
      <c r="Q50" s="35"/>
      <c r="S50" s="35"/>
      <c r="T50" s="35"/>
    </row>
    <row r="51" spans="4:20" x14ac:dyDescent="0.3">
      <c r="D51" s="35"/>
      <c r="E51" s="35"/>
      <c r="F51" s="36"/>
      <c r="G51" s="4"/>
      <c r="H51" s="36"/>
      <c r="L51" s="35"/>
      <c r="O51" s="35"/>
      <c r="S51" s="35"/>
      <c r="T51" s="35"/>
    </row>
    <row r="52" spans="4:20" x14ac:dyDescent="0.3">
      <c r="D52" s="35"/>
      <c r="E52" s="35"/>
      <c r="F52" s="4"/>
      <c r="G52" s="4"/>
      <c r="H52" s="4"/>
      <c r="L52" s="35"/>
      <c r="O52" s="35"/>
      <c r="S52" s="35"/>
      <c r="T52" s="35"/>
    </row>
    <row r="53" spans="4:20" x14ac:dyDescent="0.3">
      <c r="D53" s="35"/>
      <c r="E53" s="35"/>
      <c r="F53" s="4"/>
      <c r="G53" s="4"/>
      <c r="H53" s="4"/>
      <c r="L53" s="35"/>
      <c r="S53" s="35"/>
      <c r="T53" s="35"/>
    </row>
    <row r="54" spans="4:20" x14ac:dyDescent="0.3">
      <c r="F54" s="4"/>
      <c r="G54" s="4"/>
      <c r="H54" s="4"/>
    </row>
  </sheetData>
  <sheetProtection selectLockedCells="1" selectUnlockedCell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T54"/>
  <sheetViews>
    <sheetView topLeftCell="A4" zoomScale="80" zoomScaleNormal="80" workbookViewId="0">
      <selection activeCell="A36" sqref="A36"/>
    </sheetView>
  </sheetViews>
  <sheetFormatPr defaultRowHeight="14.4" x14ac:dyDescent="0.3"/>
  <cols>
    <col min="1" max="1" width="107" style="17" customWidth="1"/>
    <col min="2" max="8" width="14" bestFit="1" customWidth="1"/>
    <col min="9" max="9" width="15.44140625" customWidth="1"/>
    <col min="10" max="10" width="17" style="6" bestFit="1" customWidth="1"/>
    <col min="14" max="14" width="15.88671875" bestFit="1" customWidth="1"/>
    <col min="15" max="15" width="11" bestFit="1" customWidth="1"/>
    <col min="17" max="17" width="17.6640625" bestFit="1" customWidth="1"/>
  </cols>
  <sheetData>
    <row r="1" spans="1:20" ht="15" customHeight="1" x14ac:dyDescent="0.3">
      <c r="B1" s="37" t="s">
        <v>65</v>
      </c>
      <c r="C1" s="38" t="s">
        <v>66</v>
      </c>
      <c r="D1" s="38" t="s">
        <v>67</v>
      </c>
      <c r="E1" s="38" t="s">
        <v>68</v>
      </c>
      <c r="F1" s="38" t="s">
        <v>69</v>
      </c>
      <c r="G1" s="38" t="s">
        <v>70</v>
      </c>
      <c r="H1" s="38" t="s">
        <v>71</v>
      </c>
      <c r="I1" s="39" t="s">
        <v>72</v>
      </c>
      <c r="J1" s="40" t="s">
        <v>73</v>
      </c>
    </row>
    <row r="2" spans="1:20" x14ac:dyDescent="0.3">
      <c r="A2" s="41" t="s">
        <v>75</v>
      </c>
      <c r="B2" s="37"/>
      <c r="C2" s="38"/>
      <c r="D2" s="38"/>
      <c r="E2" s="38"/>
      <c r="F2" s="38"/>
      <c r="G2" s="38"/>
      <c r="H2" s="38"/>
      <c r="I2" s="38"/>
      <c r="J2" s="42"/>
    </row>
    <row r="3" spans="1:20" x14ac:dyDescent="0.3">
      <c r="A3" s="43" t="s">
        <v>0</v>
      </c>
      <c r="B3" s="44">
        <v>-2.4682713762856401</v>
      </c>
      <c r="C3" s="45">
        <v>653.71795826000005</v>
      </c>
      <c r="D3" s="45">
        <v>-3825.4023284499999</v>
      </c>
      <c r="E3" s="45">
        <v>16002.02471405</v>
      </c>
      <c r="F3" s="45">
        <v>-39489.567941560003</v>
      </c>
      <c r="G3" s="45">
        <v>53941.02514595</v>
      </c>
      <c r="H3" s="45">
        <v>-37666.088973919999</v>
      </c>
      <c r="I3" s="45">
        <v>10488.80549443</v>
      </c>
      <c r="J3" s="46"/>
    </row>
    <row r="4" spans="1:20" x14ac:dyDescent="0.3">
      <c r="A4" s="43" t="s">
        <v>1</v>
      </c>
      <c r="B4" s="44">
        <v>28.731835621347798</v>
      </c>
      <c r="C4" s="47">
        <v>20.7879793</v>
      </c>
      <c r="D4" s="47">
        <v>-3.5391415099999999</v>
      </c>
      <c r="E4" s="47">
        <v>0.37360420700000002</v>
      </c>
      <c r="F4" s="47">
        <v>-2.40797661E-2</v>
      </c>
      <c r="G4" s="47">
        <v>9.11022391E-4</v>
      </c>
      <c r="H4" s="47">
        <v>-1.8469883400000001E-5</v>
      </c>
      <c r="I4" s="47">
        <v>1.5429076099999999E-7</v>
      </c>
      <c r="J4" s="46"/>
    </row>
    <row r="5" spans="1:20" x14ac:dyDescent="0.3">
      <c r="A5" s="43" t="s">
        <v>2</v>
      </c>
      <c r="B5" s="48">
        <v>14.2471819475346</v>
      </c>
      <c r="C5" s="47">
        <v>12.5950294</v>
      </c>
      <c r="D5" s="47">
        <v>-1.0053959699999999</v>
      </c>
      <c r="E5" s="47">
        <v>4.3677255499999998E-2</v>
      </c>
      <c r="F5" s="47">
        <v>-1.0595129300000001E-3</v>
      </c>
      <c r="G5" s="47">
        <v>1.4332226600000001E-5</v>
      </c>
      <c r="H5" s="47">
        <v>-1.0095219099999999E-7</v>
      </c>
      <c r="I5" s="47">
        <v>2.8830382500000001E-10</v>
      </c>
      <c r="J5" s="46"/>
      <c r="N5" s="35"/>
      <c r="P5" s="35"/>
      <c r="Q5" s="35"/>
      <c r="S5" s="35"/>
      <c r="T5" s="35"/>
    </row>
    <row r="6" spans="1:20" x14ac:dyDescent="0.3">
      <c r="A6" s="43" t="s">
        <v>3</v>
      </c>
      <c r="B6" s="44">
        <v>11.613957530968101</v>
      </c>
      <c r="C6" s="47">
        <v>8.2645115899999997</v>
      </c>
      <c r="D6" s="47">
        <v>-0.39824110000000001</v>
      </c>
      <c r="E6" s="47">
        <v>1.0350157400000001E-2</v>
      </c>
      <c r="F6" s="47">
        <v>-1.5039014800000001E-4</v>
      </c>
      <c r="G6" s="47">
        <v>1.2222593500000001E-6</v>
      </c>
      <c r="H6" s="47">
        <v>-5.1862938399999996E-9</v>
      </c>
      <c r="I6" s="47">
        <v>8.9391272199999999E-12</v>
      </c>
      <c r="J6" s="46"/>
      <c r="N6" s="35"/>
      <c r="P6" s="35"/>
      <c r="Q6" s="35"/>
      <c r="S6" s="35"/>
      <c r="T6" s="35"/>
    </row>
    <row r="7" spans="1:20" x14ac:dyDescent="0.3">
      <c r="A7" s="43" t="s">
        <v>4</v>
      </c>
      <c r="B7" s="44">
        <v>0.15633545586835099</v>
      </c>
      <c r="C7" s="45">
        <v>6.2817129099999999E-4</v>
      </c>
      <c r="D7" s="45">
        <v>182.027098</v>
      </c>
      <c r="E7" s="45">
        <v>285.68711000000002</v>
      </c>
      <c r="F7" s="45">
        <v>-1283.9208599999999</v>
      </c>
      <c r="G7" s="45">
        <v>2594.19479</v>
      </c>
      <c r="H7" s="45">
        <v>-2796.2755999999999</v>
      </c>
      <c r="I7" s="45">
        <v>1116.39859</v>
      </c>
      <c r="J7" s="97" t="s">
        <v>30</v>
      </c>
      <c r="N7" s="35"/>
      <c r="P7" s="35"/>
      <c r="Q7" s="35"/>
      <c r="S7" s="35"/>
      <c r="T7" s="35"/>
    </row>
    <row r="8" spans="1:20" x14ac:dyDescent="0.3">
      <c r="A8" s="43" t="s">
        <v>5</v>
      </c>
      <c r="B8" s="44">
        <v>-9.71850757242645</v>
      </c>
      <c r="C8" s="45">
        <v>728.05991087999996</v>
      </c>
      <c r="D8" s="45">
        <v>-1971.7247434000001</v>
      </c>
      <c r="E8" s="45">
        <v>2515.9387036899998</v>
      </c>
      <c r="F8" s="45">
        <v>-1444.6987181699999</v>
      </c>
      <c r="G8" s="45">
        <v>280.92425741</v>
      </c>
      <c r="H8" s="98"/>
      <c r="I8" s="98"/>
      <c r="J8" s="97" t="s">
        <v>30</v>
      </c>
      <c r="N8" s="35"/>
      <c r="P8" s="35"/>
      <c r="Q8" s="35"/>
      <c r="S8" s="35"/>
      <c r="T8" s="35"/>
    </row>
    <row r="9" spans="1:20" x14ac:dyDescent="0.3">
      <c r="A9" s="43" t="s">
        <v>6</v>
      </c>
      <c r="B9" s="44">
        <v>-0.30822727033424901</v>
      </c>
      <c r="C9" s="45">
        <v>76.117906329999997</v>
      </c>
      <c r="D9" s="45">
        <v>-223.59736853000001</v>
      </c>
      <c r="E9" s="45">
        <v>3228.46285829</v>
      </c>
      <c r="F9" s="45">
        <v>-11959.43832343</v>
      </c>
      <c r="G9" s="45">
        <v>20509.343232129999</v>
      </c>
      <c r="H9" s="45">
        <v>-17079.514196550001</v>
      </c>
      <c r="I9" s="45">
        <v>5548.8494136099998</v>
      </c>
      <c r="J9" s="97" t="s">
        <v>30</v>
      </c>
      <c r="N9" s="35"/>
      <c r="P9" s="35"/>
      <c r="Q9" s="35"/>
      <c r="S9" s="35"/>
      <c r="T9" s="35"/>
    </row>
    <row r="10" spans="1:20" x14ac:dyDescent="0.3">
      <c r="A10" s="43" t="s">
        <v>7</v>
      </c>
      <c r="B10" s="44">
        <v>-6.3778783781226602</v>
      </c>
      <c r="C10" s="45">
        <v>175.16385571000001</v>
      </c>
      <c r="D10" s="45">
        <v>-1622.6495498300001</v>
      </c>
      <c r="E10" s="45">
        <v>7737.8665229600001</v>
      </c>
      <c r="F10" s="45">
        <v>-18892.960511540001</v>
      </c>
      <c r="G10" s="45">
        <v>25323.317779159999</v>
      </c>
      <c r="H10" s="45">
        <v>-17174.577007619999</v>
      </c>
      <c r="I10" s="45">
        <v>4560.7266672799997</v>
      </c>
      <c r="J10" s="99"/>
      <c r="N10" s="35"/>
      <c r="P10" s="35"/>
      <c r="Q10" s="35"/>
      <c r="S10" s="35"/>
      <c r="T10" s="35"/>
    </row>
    <row r="11" spans="1:20" x14ac:dyDescent="0.3">
      <c r="A11" s="43" t="s">
        <v>8</v>
      </c>
      <c r="B11" s="44">
        <v>-8.0103723594264995</v>
      </c>
      <c r="C11" s="45">
        <v>1597.50163073</v>
      </c>
      <c r="D11" s="45">
        <v>-12221.275631590001</v>
      </c>
      <c r="E11" s="45">
        <v>52121.694900720002</v>
      </c>
      <c r="F11" s="45">
        <v>-120920.82562446001</v>
      </c>
      <c r="G11" s="45">
        <v>141089.92790313001</v>
      </c>
      <c r="H11" s="45">
        <v>-64130.940260310002</v>
      </c>
      <c r="I11" s="98"/>
      <c r="J11" s="99" t="s">
        <v>30</v>
      </c>
      <c r="N11" s="35"/>
      <c r="P11" s="35"/>
      <c r="S11" s="35"/>
      <c r="T11" s="35"/>
    </row>
    <row r="12" spans="1:20" x14ac:dyDescent="0.3">
      <c r="A12" s="43" t="s">
        <v>9</v>
      </c>
      <c r="B12" s="44">
        <v>-5.2934557258806398</v>
      </c>
      <c r="C12" s="45">
        <v>919.03919945999996</v>
      </c>
      <c r="D12" s="45">
        <v>-3844.2488268000002</v>
      </c>
      <c r="E12" s="45">
        <v>8894.1204860399994</v>
      </c>
      <c r="F12" s="45">
        <v>-11457.67792376</v>
      </c>
      <c r="G12" s="45">
        <v>7667.34478924</v>
      </c>
      <c r="H12" s="45">
        <v>-2073.4578507699998</v>
      </c>
      <c r="I12" s="98"/>
      <c r="J12" s="97" t="s">
        <v>30</v>
      </c>
    </row>
    <row r="13" spans="1:20" x14ac:dyDescent="0.3">
      <c r="A13" s="43" t="s">
        <v>10</v>
      </c>
      <c r="B13" s="44">
        <v>-0.40746425900994798</v>
      </c>
      <c r="C13" s="45">
        <v>154.10451191000001</v>
      </c>
      <c r="D13" s="45">
        <v>993.80785214000002</v>
      </c>
      <c r="E13" s="45">
        <v>-3520.2100983199998</v>
      </c>
      <c r="F13" s="45">
        <v>4085.1667314699998</v>
      </c>
      <c r="G13" s="45">
        <v>-1614.88170539</v>
      </c>
      <c r="H13" s="98"/>
      <c r="I13" s="98"/>
      <c r="J13" s="97" t="s">
        <v>30</v>
      </c>
    </row>
    <row r="14" spans="1:20" x14ac:dyDescent="0.3">
      <c r="A14" s="43" t="s">
        <v>11</v>
      </c>
      <c r="B14" s="44">
        <v>-2.0608069431113401</v>
      </c>
      <c r="C14" s="45">
        <v>737.05526615999997</v>
      </c>
      <c r="D14" s="45">
        <v>-3203.03910864</v>
      </c>
      <c r="E14" s="45">
        <v>9147.6312577600002</v>
      </c>
      <c r="F14" s="45">
        <v>-16027.435316290001</v>
      </c>
      <c r="G14" s="45">
        <v>16258.12759803</v>
      </c>
      <c r="H14" s="45">
        <v>-8725.0109981500009</v>
      </c>
      <c r="I14" s="45">
        <v>1914.71538676</v>
      </c>
      <c r="J14" s="99" t="s">
        <v>30</v>
      </c>
    </row>
    <row r="15" spans="1:20" x14ac:dyDescent="0.3">
      <c r="A15" s="250" t="s">
        <v>76</v>
      </c>
      <c r="B15" s="49">
        <v>2.3273471407569999</v>
      </c>
      <c r="C15" s="50">
        <v>1.0461528200000001</v>
      </c>
      <c r="D15" s="50">
        <v>-7.7824368500000003E-3</v>
      </c>
      <c r="E15" s="50">
        <v>3.62356573E-5</v>
      </c>
      <c r="F15" s="50">
        <v>-9.5748765599999997E-8</v>
      </c>
      <c r="G15" s="50">
        <v>1.29168881E-10</v>
      </c>
      <c r="H15" s="50">
        <v>-6.8695916999999997E-14</v>
      </c>
      <c r="I15" s="101"/>
      <c r="J15" s="102" t="s">
        <v>147</v>
      </c>
      <c r="O15" s="35"/>
    </row>
    <row r="16" spans="1:20" x14ac:dyDescent="0.3">
      <c r="A16" s="251"/>
      <c r="B16" s="51">
        <v>74.443268653359695</v>
      </c>
      <c r="C16" s="52">
        <v>3.8087170199999999E-2</v>
      </c>
      <c r="D16" s="52">
        <v>-2.2986028999999999E-5</v>
      </c>
      <c r="E16" s="52">
        <v>6.3196364999999996E-9</v>
      </c>
      <c r="F16" s="52">
        <v>-6.4953252100000003E-13</v>
      </c>
      <c r="G16" s="52"/>
      <c r="H16" s="52"/>
      <c r="I16" s="103"/>
      <c r="J16" s="104" t="s">
        <v>148</v>
      </c>
      <c r="O16" s="35"/>
    </row>
    <row r="17" spans="1:17" x14ac:dyDescent="0.3">
      <c r="A17" s="41" t="s">
        <v>77</v>
      </c>
      <c r="B17" s="105"/>
      <c r="C17" s="106"/>
      <c r="D17" s="106"/>
      <c r="E17" s="106"/>
      <c r="F17" s="106"/>
      <c r="G17" s="106"/>
      <c r="H17" s="106"/>
      <c r="I17" s="106"/>
      <c r="J17" s="107"/>
      <c r="O17" s="35"/>
      <c r="Q17" s="35"/>
    </row>
    <row r="18" spans="1:17" x14ac:dyDescent="0.3">
      <c r="A18" s="43" t="s">
        <v>20</v>
      </c>
      <c r="B18" s="115">
        <v>3.04568592701315E-2</v>
      </c>
      <c r="C18" s="6">
        <v>87.380718079999994</v>
      </c>
      <c r="D18" s="6">
        <v>159.21824179999999</v>
      </c>
      <c r="E18" s="6">
        <v>393.39545562000001</v>
      </c>
      <c r="F18" s="6">
        <v>-2814.9689213900001</v>
      </c>
      <c r="G18" s="6">
        <v>5029.1673721200004</v>
      </c>
      <c r="H18" s="6">
        <v>-3838.0017309499999</v>
      </c>
      <c r="I18" s="6">
        <v>1083.9343824600001</v>
      </c>
      <c r="J18" s="100"/>
      <c r="O18" s="35"/>
      <c r="Q18" s="35"/>
    </row>
    <row r="19" spans="1:17" x14ac:dyDescent="0.3">
      <c r="A19" s="43" t="s">
        <v>21</v>
      </c>
      <c r="B19" s="115">
        <v>-0.68531707702178501</v>
      </c>
      <c r="C19" s="6">
        <v>392.31667162999997</v>
      </c>
      <c r="D19" s="6">
        <v>-1681.98609427</v>
      </c>
      <c r="E19" s="6">
        <v>6127.5142512499997</v>
      </c>
      <c r="F19" s="6">
        <v>-13129.327266099999</v>
      </c>
      <c r="G19" s="6">
        <v>15794.30941371</v>
      </c>
      <c r="H19" s="6">
        <v>-9984.0589152199991</v>
      </c>
      <c r="I19" s="6">
        <v>2582.3828822300002</v>
      </c>
      <c r="J19" s="100"/>
      <c r="O19" s="35"/>
      <c r="Q19" s="35"/>
    </row>
    <row r="20" spans="1:17" x14ac:dyDescent="0.3">
      <c r="A20" s="53" t="s">
        <v>22</v>
      </c>
      <c r="B20" s="116">
        <v>0.65217438604171396</v>
      </c>
      <c r="C20" s="60">
        <v>603.98580303000006</v>
      </c>
      <c r="D20" s="60">
        <v>-2735.9959857600002</v>
      </c>
      <c r="E20" s="60">
        <v>8123.8029528500001</v>
      </c>
      <c r="F20" s="6">
        <v>-13261.91297843</v>
      </c>
      <c r="G20" s="6">
        <v>10775.26763914</v>
      </c>
      <c r="H20" s="6">
        <v>-3407.1371997800002</v>
      </c>
      <c r="I20" s="108"/>
      <c r="J20" s="109"/>
      <c r="O20" s="35"/>
      <c r="Q20" s="35"/>
    </row>
    <row r="21" spans="1:17" x14ac:dyDescent="0.3">
      <c r="A21" s="41" t="s">
        <v>78</v>
      </c>
      <c r="B21" s="105"/>
      <c r="C21" s="106"/>
      <c r="D21" s="106"/>
      <c r="E21" s="106"/>
      <c r="F21" s="106"/>
      <c r="G21" s="106"/>
      <c r="H21" s="106"/>
      <c r="I21" s="110"/>
      <c r="J21" s="110"/>
      <c r="O21" s="35"/>
      <c r="Q21" s="35"/>
    </row>
    <row r="22" spans="1:17" x14ac:dyDescent="0.3">
      <c r="A22" s="250" t="s">
        <v>13</v>
      </c>
      <c r="B22" s="49">
        <v>-10.170510274407199</v>
      </c>
      <c r="C22" s="117">
        <v>0.29483802799999997</v>
      </c>
      <c r="D22" s="117">
        <v>-4.6389899200000002E-4</v>
      </c>
      <c r="E22" s="117">
        <v>3.6557326299999999E-7</v>
      </c>
      <c r="F22" s="117">
        <v>-1.11709769E-10</v>
      </c>
      <c r="G22" s="50"/>
      <c r="H22" s="50"/>
      <c r="I22" s="57"/>
      <c r="J22" s="57" t="s">
        <v>79</v>
      </c>
      <c r="N22" s="35"/>
      <c r="O22" s="35"/>
      <c r="P22" s="35"/>
      <c r="Q22" s="35"/>
    </row>
    <row r="23" spans="1:17" x14ac:dyDescent="0.3">
      <c r="A23" s="250"/>
      <c r="B23" s="118">
        <v>52.021044796042098</v>
      </c>
      <c r="C23" s="117">
        <v>3.1438007400000002E-2</v>
      </c>
      <c r="D23" s="117">
        <v>-1.04392276E-5</v>
      </c>
      <c r="E23" s="117">
        <v>1.68019116E-9</v>
      </c>
      <c r="F23" s="117">
        <v>-1.05440525E-13</v>
      </c>
      <c r="G23" s="50"/>
      <c r="H23" s="50"/>
      <c r="I23" s="57"/>
      <c r="J23" s="57" t="s">
        <v>149</v>
      </c>
      <c r="N23" s="35"/>
      <c r="O23" s="35"/>
      <c r="P23" s="35"/>
      <c r="Q23" s="35"/>
    </row>
    <row r="24" spans="1:17" x14ac:dyDescent="0.3">
      <c r="A24" s="250"/>
      <c r="B24" s="49">
        <v>87.298610406568102</v>
      </c>
      <c r="C24" s="117">
        <v>1.3523649600000001E-3</v>
      </c>
      <c r="D24" s="117">
        <v>-5.86418538E-8</v>
      </c>
      <c r="E24" s="117">
        <v>8.8977855400000002E-13</v>
      </c>
      <c r="F24" s="50"/>
      <c r="G24" s="50"/>
      <c r="H24" s="50"/>
      <c r="I24" s="57"/>
      <c r="J24" s="57" t="s">
        <v>150</v>
      </c>
      <c r="N24" s="35"/>
      <c r="O24" s="35"/>
      <c r="P24" s="35"/>
      <c r="Q24" s="35"/>
    </row>
    <row r="25" spans="1:17" x14ac:dyDescent="0.3">
      <c r="A25" s="95"/>
      <c r="B25" s="49">
        <v>100</v>
      </c>
      <c r="C25" s="50"/>
      <c r="D25" s="50"/>
      <c r="E25" s="50"/>
      <c r="F25" s="50"/>
      <c r="G25" s="50"/>
      <c r="H25" s="50"/>
      <c r="I25" s="57"/>
      <c r="J25" s="57" t="s">
        <v>151</v>
      </c>
      <c r="N25" s="35"/>
      <c r="O25" s="35"/>
    </row>
    <row r="26" spans="1:17" ht="28.8" x14ac:dyDescent="0.3">
      <c r="A26" s="43" t="s">
        <v>14</v>
      </c>
      <c r="B26" s="115">
        <v>99.932967418419693</v>
      </c>
      <c r="C26" s="6">
        <v>439.18911714000001</v>
      </c>
      <c r="D26" s="6">
        <v>1126.5429729299999</v>
      </c>
      <c r="E26" s="6">
        <v>2008.1831949699999</v>
      </c>
      <c r="F26" s="6">
        <v>2362.6154877600002</v>
      </c>
      <c r="G26" s="6">
        <v>1687.5744931700001</v>
      </c>
      <c r="H26" s="6">
        <v>653.32675513000004</v>
      </c>
      <c r="I26" s="125">
        <v>104.45471542</v>
      </c>
      <c r="J26" s="113"/>
    </row>
    <row r="27" spans="1:17" x14ac:dyDescent="0.3">
      <c r="A27" s="53" t="s">
        <v>15</v>
      </c>
      <c r="B27" s="58">
        <v>-0.28032299411070399</v>
      </c>
      <c r="C27" s="59">
        <v>-48.369928600000001</v>
      </c>
      <c r="D27" s="59">
        <v>745.82305640000004</v>
      </c>
      <c r="E27" s="59">
        <v>-3759.9555975200001</v>
      </c>
      <c r="F27" s="59">
        <v>8447.8081307600005</v>
      </c>
      <c r="G27" s="59">
        <v>-8741.7420528300008</v>
      </c>
      <c r="H27" s="55">
        <v>3458.68669219</v>
      </c>
      <c r="I27" s="114"/>
      <c r="J27" s="114"/>
    </row>
    <row r="28" spans="1:17" x14ac:dyDescent="0.3">
      <c r="A28" s="41" t="s">
        <v>195</v>
      </c>
      <c r="B28" s="105"/>
      <c r="C28" s="106"/>
      <c r="D28" s="106"/>
      <c r="E28" s="106"/>
      <c r="F28" s="106"/>
      <c r="G28" s="106"/>
      <c r="H28" s="106"/>
      <c r="I28" s="110"/>
      <c r="J28" s="110"/>
    </row>
    <row r="29" spans="1:17" x14ac:dyDescent="0.3">
      <c r="A29" s="43" t="s">
        <v>16</v>
      </c>
      <c r="B29" s="115">
        <v>-2.4070000884946099</v>
      </c>
      <c r="C29" s="60">
        <v>70.651313619999996</v>
      </c>
      <c r="D29" s="60">
        <v>-236.47808663999999</v>
      </c>
      <c r="E29" s="60">
        <v>1647.0331724499999</v>
      </c>
      <c r="F29" s="60">
        <v>-3687.9041218100001</v>
      </c>
      <c r="G29" s="60">
        <v>3594.9029902799998</v>
      </c>
      <c r="H29" s="60">
        <v>-1284.7496440499999</v>
      </c>
      <c r="I29" s="6"/>
      <c r="J29" s="100"/>
    </row>
    <row r="30" spans="1:17" ht="28.8" x14ac:dyDescent="0.3">
      <c r="A30" s="53" t="s">
        <v>17</v>
      </c>
      <c r="B30" s="119">
        <v>-1.94050080018877</v>
      </c>
      <c r="C30" s="6">
        <v>60.331084939999997</v>
      </c>
      <c r="D30" s="6">
        <v>54.740489660000001</v>
      </c>
      <c r="E30" s="6">
        <v>500.76777876</v>
      </c>
      <c r="F30" s="6">
        <v>-1800.68685514</v>
      </c>
      <c r="G30" s="6">
        <v>2141.5819624699998</v>
      </c>
      <c r="H30" s="6">
        <v>-853.96677935000002</v>
      </c>
      <c r="I30" s="114"/>
      <c r="J30" s="114"/>
    </row>
    <row r="31" spans="1:17" s="127" customFormat="1" hidden="1" x14ac:dyDescent="0.3">
      <c r="A31" s="129" t="s">
        <v>152</v>
      </c>
      <c r="B31" s="130"/>
      <c r="C31" s="131"/>
      <c r="D31" s="131"/>
      <c r="E31" s="131"/>
      <c r="F31" s="131"/>
      <c r="G31" s="131"/>
      <c r="H31" s="131"/>
      <c r="I31" s="132"/>
      <c r="J31" s="132"/>
    </row>
    <row r="32" spans="1:17" s="127" customFormat="1" hidden="1" x14ac:dyDescent="0.3">
      <c r="A32" s="133" t="s">
        <v>25</v>
      </c>
      <c r="B32" s="134">
        <v>0.79096060264742996</v>
      </c>
      <c r="C32" s="135">
        <v>-0.30930317299999999</v>
      </c>
      <c r="D32" s="135">
        <v>6.9282747000000006E-2</v>
      </c>
      <c r="E32" s="135">
        <v>-8.3335128700000002E-4</v>
      </c>
      <c r="F32" s="135">
        <v>-1.2552376800000001E-5</v>
      </c>
      <c r="G32" s="135">
        <v>4.1723829600000001E-7</v>
      </c>
      <c r="H32" s="135">
        <v>-3.8626686300000002E-9</v>
      </c>
      <c r="I32" s="135">
        <v>1.2167406E-11</v>
      </c>
      <c r="J32" s="136" t="s">
        <v>30</v>
      </c>
      <c r="P32" s="128"/>
      <c r="Q32" s="128"/>
    </row>
    <row r="33" spans="1:17" s="127" customFormat="1" hidden="1" x14ac:dyDescent="0.3">
      <c r="A33" s="137" t="s">
        <v>26</v>
      </c>
      <c r="B33" s="134">
        <v>0.74955038144388897</v>
      </c>
      <c r="C33" s="135">
        <v>-0.41723128399999998</v>
      </c>
      <c r="D33" s="135">
        <v>0.13578430699999999</v>
      </c>
      <c r="E33" s="135">
        <v>-3.9709570900000003E-3</v>
      </c>
      <c r="F33" s="135">
        <v>5.9041373499999998E-5</v>
      </c>
      <c r="G33" s="135">
        <v>-4.5578524599999999E-7</v>
      </c>
      <c r="H33" s="135">
        <v>1.40899029E-9</v>
      </c>
      <c r="I33" s="159"/>
      <c r="J33" s="139"/>
      <c r="P33" s="128"/>
      <c r="Q33" s="128"/>
    </row>
    <row r="34" spans="1:17" s="127" customFormat="1" x14ac:dyDescent="0.3">
      <c r="A34" s="41" t="s">
        <v>197</v>
      </c>
      <c r="B34" s="162"/>
      <c r="C34" s="163"/>
      <c r="D34" s="163"/>
      <c r="E34" s="163"/>
      <c r="F34" s="163"/>
      <c r="G34" s="163"/>
      <c r="H34" s="163"/>
      <c r="I34" s="132"/>
      <c r="J34" s="159"/>
      <c r="P34" s="128"/>
      <c r="Q34" s="128"/>
    </row>
    <row r="35" spans="1:17" s="127" customFormat="1" ht="28.8" x14ac:dyDescent="0.3">
      <c r="A35" s="43" t="s">
        <v>215</v>
      </c>
      <c r="B35" s="138"/>
      <c r="C35" s="164"/>
      <c r="D35" s="164"/>
      <c r="E35" s="164"/>
      <c r="F35" s="164"/>
      <c r="G35" s="164"/>
      <c r="H35" s="164"/>
      <c r="I35" s="139"/>
      <c r="J35" s="159"/>
      <c r="P35" s="128"/>
      <c r="Q35" s="128"/>
    </row>
    <row r="36" spans="1:17" x14ac:dyDescent="0.3">
      <c r="A36" s="41" t="s">
        <v>196</v>
      </c>
      <c r="B36" s="44"/>
      <c r="C36" s="45"/>
      <c r="D36" s="45"/>
      <c r="E36" s="45"/>
      <c r="F36" s="45"/>
      <c r="G36" s="45"/>
      <c r="H36" s="45"/>
      <c r="I36" s="160"/>
      <c r="J36" s="40"/>
      <c r="P36" s="35"/>
      <c r="Q36" s="35"/>
    </row>
    <row r="37" spans="1:17" ht="28.8" x14ac:dyDescent="0.3">
      <c r="A37" s="43" t="s">
        <v>171</v>
      </c>
      <c r="B37" s="44"/>
      <c r="C37" s="45"/>
      <c r="D37" s="45"/>
      <c r="E37" s="45"/>
      <c r="F37" s="45"/>
      <c r="G37" s="45"/>
      <c r="H37" s="45"/>
      <c r="I37" s="160"/>
      <c r="J37" s="125"/>
      <c r="P37" s="35"/>
      <c r="Q37" s="35"/>
    </row>
    <row r="38" spans="1:17" ht="18" customHeight="1" x14ac:dyDescent="0.3">
      <c r="A38" s="43" t="s">
        <v>172</v>
      </c>
      <c r="B38" s="44"/>
      <c r="C38" s="45"/>
      <c r="D38" s="45"/>
      <c r="E38" s="45"/>
      <c r="F38" s="45"/>
      <c r="G38" s="45"/>
      <c r="H38" s="45"/>
      <c r="I38" s="160"/>
      <c r="J38" s="125"/>
      <c r="P38" s="35"/>
      <c r="Q38" s="35"/>
    </row>
    <row r="39" spans="1:17" ht="24" customHeight="1" x14ac:dyDescent="0.3">
      <c r="A39" s="43" t="s">
        <v>173</v>
      </c>
      <c r="B39" s="44"/>
      <c r="C39" s="45"/>
      <c r="D39" s="45"/>
      <c r="E39" s="45"/>
      <c r="F39" s="45"/>
      <c r="G39" s="45"/>
      <c r="H39" s="45"/>
      <c r="I39" s="160"/>
      <c r="J39" s="125"/>
      <c r="P39" s="35"/>
      <c r="Q39" s="35"/>
    </row>
    <row r="40" spans="1:17" ht="50.4" customHeight="1" x14ac:dyDescent="0.3">
      <c r="A40" s="53" t="s">
        <v>174</v>
      </c>
      <c r="B40" s="54"/>
      <c r="C40" s="55"/>
      <c r="D40" s="55"/>
      <c r="E40" s="55"/>
      <c r="F40" s="55"/>
      <c r="G40" s="55"/>
      <c r="H40" s="55"/>
      <c r="I40" s="56"/>
      <c r="J40" s="161"/>
    </row>
    <row r="41" spans="1:17" x14ac:dyDescent="0.3">
      <c r="A41" s="140" t="s">
        <v>160</v>
      </c>
      <c r="B41" s="253" t="s">
        <v>165</v>
      </c>
      <c r="C41" s="254"/>
      <c r="D41" s="254"/>
      <c r="E41" s="254"/>
      <c r="F41" s="254"/>
      <c r="G41" s="254"/>
      <c r="H41" s="254"/>
      <c r="I41" s="255"/>
      <c r="J41" s="141"/>
    </row>
    <row r="42" spans="1:17" x14ac:dyDescent="0.3">
      <c r="A42" s="94" t="s">
        <v>74</v>
      </c>
    </row>
    <row r="43" spans="1:17" x14ac:dyDescent="0.3">
      <c r="B43" s="35"/>
    </row>
    <row r="44" spans="1:17" x14ac:dyDescent="0.3">
      <c r="A44" s="252" t="s">
        <v>146</v>
      </c>
      <c r="B44" s="252"/>
      <c r="C44" s="252"/>
      <c r="D44" s="252"/>
      <c r="E44" s="252"/>
      <c r="F44" s="252"/>
      <c r="G44" s="252"/>
      <c r="H44" s="252"/>
      <c r="I44" s="252"/>
      <c r="J44" s="252"/>
    </row>
    <row r="45" spans="1:17" x14ac:dyDescent="0.3">
      <c r="A45" s="252"/>
      <c r="B45" s="252"/>
      <c r="C45" s="252"/>
      <c r="D45" s="252"/>
      <c r="E45" s="252"/>
      <c r="F45" s="252"/>
      <c r="G45" s="252"/>
      <c r="H45" s="252"/>
      <c r="I45" s="252"/>
      <c r="J45" s="252"/>
    </row>
    <row r="46" spans="1:17" x14ac:dyDescent="0.3">
      <c r="A46" s="252"/>
      <c r="B46" s="252"/>
      <c r="C46" s="252"/>
      <c r="D46" s="252"/>
      <c r="E46" s="252"/>
      <c r="F46" s="252"/>
      <c r="G46" s="252"/>
      <c r="H46" s="252"/>
      <c r="I46" s="252"/>
      <c r="J46" s="252"/>
    </row>
    <row r="47" spans="1:17" x14ac:dyDescent="0.3">
      <c r="A47" s="252"/>
      <c r="B47" s="252"/>
      <c r="C47" s="252"/>
      <c r="D47" s="252"/>
      <c r="E47" s="252"/>
      <c r="F47" s="252"/>
      <c r="G47" s="252"/>
      <c r="H47" s="252"/>
      <c r="I47" s="252"/>
      <c r="J47" s="252"/>
    </row>
    <row r="48" spans="1:17" x14ac:dyDescent="0.3">
      <c r="A48" s="252"/>
      <c r="B48" s="252"/>
      <c r="C48" s="252"/>
      <c r="D48" s="252"/>
      <c r="E48" s="252"/>
      <c r="F48" s="252"/>
      <c r="G48" s="252"/>
      <c r="H48" s="252"/>
      <c r="I48" s="252"/>
      <c r="J48" s="252"/>
    </row>
    <row r="49" spans="2:10" x14ac:dyDescent="0.3">
      <c r="B49" s="36"/>
      <c r="C49" s="4"/>
      <c r="D49" s="36"/>
      <c r="H49" s="35"/>
      <c r="J49" s="60"/>
    </row>
    <row r="50" spans="2:10" x14ac:dyDescent="0.3">
      <c r="B50" s="36"/>
      <c r="C50" s="4"/>
      <c r="D50" s="36"/>
      <c r="H50" s="35"/>
      <c r="J50" s="60"/>
    </row>
    <row r="51" spans="2:10" x14ac:dyDescent="0.3">
      <c r="B51" s="36"/>
      <c r="C51" s="4"/>
      <c r="D51" s="36"/>
      <c r="H51" s="35"/>
      <c r="J51" s="60"/>
    </row>
    <row r="52" spans="2:10" x14ac:dyDescent="0.3">
      <c r="B52" s="4"/>
      <c r="C52" s="4"/>
      <c r="D52" s="4"/>
      <c r="H52" s="35"/>
      <c r="J52" s="60"/>
    </row>
    <row r="53" spans="2:10" x14ac:dyDescent="0.3">
      <c r="B53" s="4"/>
      <c r="C53" s="4"/>
      <c r="D53" s="4"/>
      <c r="H53" s="35"/>
      <c r="J53" s="60"/>
    </row>
    <row r="54" spans="2:10" x14ac:dyDescent="0.3">
      <c r="B54" s="4"/>
      <c r="C54" s="4"/>
      <c r="D54" s="4"/>
    </row>
  </sheetData>
  <sheetProtection selectLockedCells="1" selectUnlockedCells="1"/>
  <mergeCells count="4">
    <mergeCell ref="A15:A16"/>
    <mergeCell ref="A22:A24"/>
    <mergeCell ref="A44:J48"/>
    <mergeCell ref="B41:I4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314F-3D99-442E-BCA6-6B6913CB8EE6}">
  <dimension ref="B2:B3"/>
  <sheetViews>
    <sheetView workbookViewId="0">
      <selection activeCell="B3" sqref="B3"/>
    </sheetView>
  </sheetViews>
  <sheetFormatPr defaultRowHeight="14.4" x14ac:dyDescent="0.3"/>
  <cols>
    <col min="1" max="1" width="20.44140625" customWidth="1"/>
    <col min="2" max="2" width="38" customWidth="1"/>
  </cols>
  <sheetData>
    <row r="2" spans="2:2" x14ac:dyDescent="0.3">
      <c r="B2" s="126" t="s">
        <v>198</v>
      </c>
    </row>
    <row r="3" spans="2:2" x14ac:dyDescent="0.3">
      <c r="B3" s="166">
        <f>IF(Gare!D22="NO",'INDICI-PUNTEGGI'!E2,0.8*'INDICI-PUNTEGGI'!E2+MIN(20,Gare!D23))</f>
        <v>55.291185235591172</v>
      </c>
    </row>
  </sheetData>
  <sheetProtection sheet="1" objects="1" scenarios="1" formatCell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zoomScale="90" zoomScaleNormal="90" workbookViewId="0">
      <selection activeCell="E7" sqref="E7"/>
    </sheetView>
  </sheetViews>
  <sheetFormatPr defaultRowHeight="14.4" x14ac:dyDescent="0.3"/>
  <cols>
    <col min="1" max="1" width="7" style="5" customWidth="1"/>
    <col min="2" max="2" width="106.33203125" customWidth="1"/>
    <col min="3" max="3" width="21.5546875" customWidth="1"/>
    <col min="4" max="4" width="23.5546875" customWidth="1"/>
    <col min="5" max="5" width="33" bestFit="1" customWidth="1"/>
  </cols>
  <sheetData>
    <row r="1" spans="1:4" s="17" customFormat="1" ht="28.5" customHeight="1" x14ac:dyDescent="0.3">
      <c r="A1" s="210" t="s">
        <v>101</v>
      </c>
      <c r="B1" s="212"/>
      <c r="C1" s="212"/>
      <c r="D1" s="211"/>
    </row>
    <row r="2" spans="1:4" s="17" customFormat="1" ht="36" customHeight="1" x14ac:dyDescent="0.3">
      <c r="A2" s="210"/>
      <c r="B2" s="211"/>
      <c r="C2" s="81" t="s">
        <v>115</v>
      </c>
      <c r="D2" s="81" t="s">
        <v>99</v>
      </c>
    </row>
    <row r="3" spans="1:4" ht="18.899999999999999" customHeight="1" x14ac:dyDescent="0.3">
      <c r="A3" s="67">
        <v>1</v>
      </c>
      <c r="B3" s="83" t="s">
        <v>118</v>
      </c>
      <c r="C3" s="68">
        <v>125</v>
      </c>
      <c r="D3" s="209">
        <f>SUM('INDICI-PUNTEGGI'!C3:C15)</f>
        <v>8.0858846142304373</v>
      </c>
    </row>
    <row r="4" spans="1:4" ht="18.899999999999999" customHeight="1" x14ac:dyDescent="0.3">
      <c r="A4" s="67">
        <v>2</v>
      </c>
      <c r="B4" s="83" t="s">
        <v>119</v>
      </c>
      <c r="C4" s="68">
        <v>23</v>
      </c>
      <c r="D4" s="209"/>
    </row>
    <row r="5" spans="1:4" ht="18.899999999999999" customHeight="1" x14ac:dyDescent="0.3">
      <c r="A5" s="67">
        <v>3</v>
      </c>
      <c r="B5" s="84" t="s">
        <v>120</v>
      </c>
      <c r="C5" s="68">
        <v>1</v>
      </c>
      <c r="D5" s="209"/>
    </row>
    <row r="6" spans="1:4" ht="18.899999999999999" customHeight="1" x14ac:dyDescent="0.3">
      <c r="A6" s="67">
        <v>4</v>
      </c>
      <c r="B6" s="84" t="s">
        <v>121</v>
      </c>
      <c r="C6" s="68">
        <v>12</v>
      </c>
      <c r="D6" s="209"/>
    </row>
    <row r="7" spans="1:4" ht="18.899999999999999" customHeight="1" x14ac:dyDescent="0.3">
      <c r="A7" s="67">
        <v>5</v>
      </c>
      <c r="B7" s="84" t="s">
        <v>122</v>
      </c>
      <c r="C7" s="68">
        <v>10</v>
      </c>
      <c r="D7" s="209"/>
    </row>
    <row r="8" spans="1:4" ht="18.899999999999999" customHeight="1" x14ac:dyDescent="0.3">
      <c r="A8" s="67">
        <v>6</v>
      </c>
      <c r="B8" s="83" t="s">
        <v>123</v>
      </c>
      <c r="C8" s="68">
        <v>8</v>
      </c>
      <c r="D8" s="209"/>
    </row>
    <row r="9" spans="1:4" ht="18.899999999999999" customHeight="1" x14ac:dyDescent="0.3">
      <c r="A9" s="67">
        <v>7</v>
      </c>
      <c r="B9" s="83" t="s">
        <v>124</v>
      </c>
      <c r="C9" s="68">
        <v>3</v>
      </c>
      <c r="D9" s="209"/>
    </row>
    <row r="10" spans="1:4" ht="18.899999999999999" customHeight="1" x14ac:dyDescent="0.3">
      <c r="A10" s="67">
        <v>8</v>
      </c>
      <c r="B10" s="83" t="s">
        <v>125</v>
      </c>
      <c r="C10" s="68">
        <v>12</v>
      </c>
      <c r="D10" s="209"/>
    </row>
    <row r="11" spans="1:4" ht="18.899999999999999" customHeight="1" x14ac:dyDescent="0.3">
      <c r="A11" s="67">
        <v>9</v>
      </c>
      <c r="B11" s="84" t="s">
        <v>131</v>
      </c>
      <c r="C11" s="68">
        <v>6</v>
      </c>
      <c r="D11" s="209"/>
    </row>
    <row r="12" spans="1:4" ht="18.899999999999999" customHeight="1" x14ac:dyDescent="0.3">
      <c r="A12" s="67">
        <v>10</v>
      </c>
      <c r="B12" s="83" t="s">
        <v>126</v>
      </c>
      <c r="C12" s="68">
        <v>7</v>
      </c>
      <c r="D12" s="209"/>
    </row>
    <row r="13" spans="1:4" ht="18.899999999999999" customHeight="1" x14ac:dyDescent="0.3">
      <c r="A13" s="67">
        <v>11</v>
      </c>
      <c r="B13" s="83" t="s">
        <v>127</v>
      </c>
      <c r="C13" s="68">
        <v>2</v>
      </c>
      <c r="D13" s="209"/>
    </row>
    <row r="14" spans="1:4" ht="18.899999999999999" customHeight="1" x14ac:dyDescent="0.3">
      <c r="A14" s="67">
        <v>12</v>
      </c>
      <c r="B14" s="83" t="s">
        <v>128</v>
      </c>
      <c r="C14" s="68">
        <v>3</v>
      </c>
      <c r="D14" s="209"/>
    </row>
    <row r="15" spans="1:4" ht="18.899999999999999" customHeight="1" x14ac:dyDescent="0.3">
      <c r="A15" s="67">
        <v>13</v>
      </c>
      <c r="B15" s="83" t="s">
        <v>129</v>
      </c>
      <c r="C15" s="68">
        <v>3</v>
      </c>
      <c r="D15" s="209"/>
    </row>
    <row r="16" spans="1:4" ht="18.899999999999999" customHeight="1" x14ac:dyDescent="0.3">
      <c r="A16" s="67">
        <v>14</v>
      </c>
      <c r="B16" s="83" t="s">
        <v>130</v>
      </c>
      <c r="C16" s="68">
        <v>1</v>
      </c>
      <c r="D16" s="209"/>
    </row>
    <row r="19" spans="5:5" x14ac:dyDescent="0.3">
      <c r="E19" s="16"/>
    </row>
  </sheetData>
  <sheetProtection algorithmName="SHA-512" hashValue="VvmOpLcZ3zotKKFAmMOrHhSxUFomm/6n1Jf5Q4A8CmK568fX1nJqRDgJBYj6zzfl/itPR+8x7j7ktdcFMaLx0Q==" saltValue="uuqJwx4ie/afiNvDTachuQ==" spinCount="100000" sheet="1" objects="1" scenarios="1"/>
  <protectedRanges>
    <protectedRange sqref="C3:C16" name="Intervallo1"/>
  </protectedRanges>
  <mergeCells count="3">
    <mergeCell ref="D3:D16"/>
    <mergeCell ref="A2:B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selection activeCell="D3" sqref="D3:D5"/>
    </sheetView>
  </sheetViews>
  <sheetFormatPr defaultRowHeight="14.4" x14ac:dyDescent="0.3"/>
  <cols>
    <col min="1" max="1" width="9.109375" style="5"/>
    <col min="2" max="2" width="104" customWidth="1"/>
    <col min="3" max="3" width="12.6640625" customWidth="1"/>
    <col min="4" max="4" width="18.6640625" customWidth="1"/>
    <col min="5" max="5" width="33" bestFit="1" customWidth="1"/>
  </cols>
  <sheetData>
    <row r="1" spans="1:4" ht="30" customHeight="1" x14ac:dyDescent="0.3">
      <c r="A1" s="210" t="s">
        <v>102</v>
      </c>
      <c r="B1" s="212"/>
      <c r="C1" s="212"/>
      <c r="D1" s="211"/>
    </row>
    <row r="2" spans="1:4" ht="48" customHeight="1" x14ac:dyDescent="0.3">
      <c r="A2" s="210"/>
      <c r="B2" s="211"/>
      <c r="C2" s="81" t="s">
        <v>115</v>
      </c>
      <c r="D2" s="81" t="s">
        <v>99</v>
      </c>
    </row>
    <row r="3" spans="1:4" ht="50.25" customHeight="1" x14ac:dyDescent="0.3">
      <c r="A3" s="67">
        <v>1</v>
      </c>
      <c r="B3" s="85" t="s">
        <v>96</v>
      </c>
      <c r="C3" s="68">
        <v>8</v>
      </c>
      <c r="D3" s="215">
        <f>SUM('INDICI-PUNTEGGI'!C17:C19)</f>
        <v>8.069571101526904</v>
      </c>
    </row>
    <row r="4" spans="1:4" ht="50.25" customHeight="1" x14ac:dyDescent="0.3">
      <c r="A4" s="67">
        <v>2</v>
      </c>
      <c r="B4" s="85" t="s">
        <v>97</v>
      </c>
      <c r="C4" s="68">
        <v>5</v>
      </c>
      <c r="D4" s="215"/>
    </row>
    <row r="5" spans="1:4" ht="50.25" customHeight="1" x14ac:dyDescent="0.3">
      <c r="A5" s="67">
        <v>3</v>
      </c>
      <c r="B5" s="85" t="s">
        <v>98</v>
      </c>
      <c r="C5" s="68">
        <v>2</v>
      </c>
      <c r="D5" s="215"/>
    </row>
    <row r="6" spans="1:4" ht="192.75" customHeight="1" x14ac:dyDescent="0.3">
      <c r="A6" s="213" t="s">
        <v>166</v>
      </c>
      <c r="B6" s="213"/>
      <c r="C6" s="213"/>
      <c r="D6" s="213"/>
    </row>
    <row r="7" spans="1:4" ht="15" hidden="1" customHeight="1" x14ac:dyDescent="0.3">
      <c r="A7" s="214"/>
      <c r="B7" s="214"/>
      <c r="C7" s="214"/>
      <c r="D7" s="214"/>
    </row>
    <row r="8" spans="1:4" ht="1.5" customHeight="1" x14ac:dyDescent="0.3">
      <c r="A8" s="214"/>
      <c r="B8" s="214"/>
      <c r="C8" s="214"/>
      <c r="D8" s="214"/>
    </row>
    <row r="9" spans="1:4" ht="15" hidden="1" customHeight="1" x14ac:dyDescent="0.3">
      <c r="A9" s="214"/>
      <c r="B9" s="214"/>
      <c r="C9" s="214"/>
      <c r="D9" s="214"/>
    </row>
    <row r="10" spans="1:4" ht="15" hidden="1" customHeight="1" x14ac:dyDescent="0.3">
      <c r="A10" s="214"/>
      <c r="B10" s="214"/>
      <c r="C10" s="214"/>
      <c r="D10" s="214"/>
    </row>
  </sheetData>
  <sheetProtection sheet="1" objects="1" scenarios="1" formatCells="0"/>
  <protectedRanges>
    <protectedRange sqref="C3:C5" name="Intervallo1"/>
  </protectedRanges>
  <mergeCells count="4">
    <mergeCell ref="A6:D10"/>
    <mergeCell ref="D3:D5"/>
    <mergeCell ref="A2:B2"/>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Normal="100" workbookViewId="0">
      <selection activeCell="D3" sqref="D3:D6"/>
    </sheetView>
  </sheetViews>
  <sheetFormatPr defaultColWidth="15" defaultRowHeight="24" customHeight="1" x14ac:dyDescent="0.3"/>
  <cols>
    <col min="1" max="1" width="10.44140625" style="11" customWidth="1"/>
    <col min="2" max="2" width="114.5546875" style="2" customWidth="1"/>
    <col min="3" max="3" width="20" style="2" customWidth="1"/>
    <col min="4" max="4" width="19.109375" customWidth="1"/>
    <col min="5" max="5" width="218.109375" style="7" bestFit="1" customWidth="1"/>
  </cols>
  <sheetData>
    <row r="1" spans="1:6" ht="24" customHeight="1" x14ac:dyDescent="0.3">
      <c r="A1" s="210" t="s">
        <v>56</v>
      </c>
      <c r="B1" s="212"/>
      <c r="C1" s="212"/>
      <c r="D1" s="211"/>
    </row>
    <row r="2" spans="1:6" ht="49.5" customHeight="1" x14ac:dyDescent="0.3">
      <c r="A2" s="216"/>
      <c r="B2" s="216"/>
      <c r="C2" s="81" t="s">
        <v>132</v>
      </c>
      <c r="D2" s="81" t="s">
        <v>99</v>
      </c>
    </row>
    <row r="3" spans="1:6" ht="43.5" customHeight="1" x14ac:dyDescent="0.3">
      <c r="A3" s="19">
        <v>1</v>
      </c>
      <c r="B3" s="70" t="s">
        <v>200</v>
      </c>
      <c r="C3" s="79">
        <f>Gare!D3</f>
        <v>3</v>
      </c>
      <c r="D3" s="215">
        <f>SUM('INDICI-PUNTEGGI'!C25:C26)</f>
        <v>5</v>
      </c>
      <c r="E3"/>
      <c r="F3">
        <v>35.669693609795956</v>
      </c>
    </row>
    <row r="4" spans="1:6" ht="43.5" customHeight="1" x14ac:dyDescent="0.3">
      <c r="A4" s="19">
        <v>2</v>
      </c>
      <c r="B4" s="80" t="s">
        <v>116</v>
      </c>
      <c r="C4" s="71">
        <f>Gare!D4</f>
        <v>3</v>
      </c>
      <c r="D4" s="215"/>
      <c r="E4"/>
    </row>
    <row r="5" spans="1:6" ht="43.5" customHeight="1" x14ac:dyDescent="0.3">
      <c r="A5" s="19">
        <v>3</v>
      </c>
      <c r="B5" s="80" t="s">
        <v>141</v>
      </c>
      <c r="C5" s="71">
        <f>SUM(Gare!D5)</f>
        <v>0</v>
      </c>
      <c r="D5" s="215"/>
      <c r="E5"/>
    </row>
    <row r="6" spans="1:6" ht="43.5" customHeight="1" x14ac:dyDescent="0.3">
      <c r="A6" s="19">
        <v>4</v>
      </c>
      <c r="B6" s="80" t="s">
        <v>142</v>
      </c>
      <c r="C6" s="71">
        <f>SUM(Gare!D6)</f>
        <v>3</v>
      </c>
      <c r="D6" s="215"/>
      <c r="E6"/>
    </row>
    <row r="7" spans="1:6" ht="24" customHeight="1" x14ac:dyDescent="0.3">
      <c r="B7" s="8"/>
    </row>
  </sheetData>
  <sheetProtection sheet="1" formatCells="0"/>
  <mergeCells count="3">
    <mergeCell ref="A1:D1"/>
    <mergeCell ref="A2:B2"/>
    <mergeCell ref="D3:D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4DBB-1B4A-450C-9DCD-2B414982ADBD}">
  <dimension ref="A1:D10"/>
  <sheetViews>
    <sheetView workbookViewId="0">
      <selection activeCell="B10" sqref="B10"/>
    </sheetView>
  </sheetViews>
  <sheetFormatPr defaultRowHeight="14.4" x14ac:dyDescent="0.3"/>
  <cols>
    <col min="1" max="1" width="50.6640625" customWidth="1"/>
    <col min="2" max="2" width="64.88671875" customWidth="1"/>
    <col min="3" max="3" width="50.6640625" customWidth="1"/>
    <col min="4" max="4" width="31.33203125" customWidth="1"/>
  </cols>
  <sheetData>
    <row r="1" spans="1:4" ht="63" customHeight="1" x14ac:dyDescent="0.3">
      <c r="A1" s="220" t="s">
        <v>216</v>
      </c>
      <c r="B1" s="221"/>
      <c r="C1" s="221"/>
      <c r="D1" s="221"/>
    </row>
    <row r="2" spans="1:4" x14ac:dyDescent="0.3">
      <c r="A2" s="216" t="s">
        <v>100</v>
      </c>
      <c r="B2" s="216"/>
      <c r="C2" s="81"/>
      <c r="D2" s="81"/>
    </row>
    <row r="3" spans="1:4" x14ac:dyDescent="0.3">
      <c r="A3" s="145" t="s">
        <v>169</v>
      </c>
      <c r="B3" s="145" t="s">
        <v>201</v>
      </c>
      <c r="C3" s="81" t="s">
        <v>169</v>
      </c>
      <c r="D3" s="81" t="s">
        <v>99</v>
      </c>
    </row>
    <row r="4" spans="1:4" x14ac:dyDescent="0.3">
      <c r="A4" s="145">
        <v>0</v>
      </c>
      <c r="B4" s="81">
        <v>0</v>
      </c>
      <c r="C4" s="217">
        <v>1</v>
      </c>
      <c r="D4" s="222">
        <f>'INDICI-PUNTEGGI'!C28</f>
        <v>1.25</v>
      </c>
    </row>
    <row r="5" spans="1:4" x14ac:dyDescent="0.3">
      <c r="A5" s="19">
        <v>1</v>
      </c>
      <c r="B5" s="144">
        <v>1.25</v>
      </c>
      <c r="C5" s="218"/>
      <c r="D5" s="223"/>
    </row>
    <row r="6" spans="1:4" x14ac:dyDescent="0.3">
      <c r="A6" s="19">
        <v>2</v>
      </c>
      <c r="B6" s="144">
        <v>2.5</v>
      </c>
      <c r="C6" s="218"/>
      <c r="D6" s="223"/>
    </row>
    <row r="7" spans="1:4" x14ac:dyDescent="0.3">
      <c r="A7" s="19">
        <v>3</v>
      </c>
      <c r="B7" s="144">
        <v>3.75</v>
      </c>
      <c r="C7" s="218"/>
      <c r="D7" s="223"/>
    </row>
    <row r="8" spans="1:4" x14ac:dyDescent="0.3">
      <c r="A8" s="19" t="s">
        <v>168</v>
      </c>
      <c r="B8" s="148">
        <v>5</v>
      </c>
      <c r="C8" s="219"/>
      <c r="D8" s="224"/>
    </row>
    <row r="9" spans="1:4" ht="30" customHeight="1" x14ac:dyDescent="0.3"/>
    <row r="10" spans="1:4" ht="115.5" customHeight="1" x14ac:dyDescent="0.3">
      <c r="B10" s="147" t="s">
        <v>167</v>
      </c>
    </row>
  </sheetData>
  <sheetProtection sheet="1" objects="1" scenarios="1" formatCells="0"/>
  <mergeCells count="4">
    <mergeCell ref="A2:B2"/>
    <mergeCell ref="C4:C8"/>
    <mergeCell ref="A1:D1"/>
    <mergeCell ref="D4:D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B9175-AB59-4A02-8A5F-C5C54C83D269}">
  <dimension ref="A1:I20"/>
  <sheetViews>
    <sheetView tabSelected="1" topLeftCell="A6" workbookViewId="0">
      <selection activeCell="B10" sqref="B10"/>
    </sheetView>
  </sheetViews>
  <sheetFormatPr defaultRowHeight="14.4" x14ac:dyDescent="0.3"/>
  <cols>
    <col min="1" max="1" width="13.33203125" customWidth="1"/>
    <col min="2" max="2" width="60.77734375" customWidth="1"/>
    <col min="3" max="3" width="22.5546875" customWidth="1"/>
    <col min="4" max="4" width="16.44140625" customWidth="1"/>
    <col min="5" max="5" width="19.33203125" customWidth="1"/>
    <col min="6" max="6" width="18.44140625" customWidth="1"/>
    <col min="7" max="7" width="31.6640625" customWidth="1"/>
    <col min="8" max="8" width="27.6640625" customWidth="1"/>
    <col min="9" max="9" width="34.6640625" customWidth="1"/>
    <col min="10" max="10" width="22.33203125" customWidth="1"/>
  </cols>
  <sheetData>
    <row r="1" spans="1:9" x14ac:dyDescent="0.3">
      <c r="A1" s="216" t="s">
        <v>170</v>
      </c>
      <c r="B1" s="216"/>
      <c r="C1" s="216"/>
      <c r="D1" s="216"/>
    </row>
    <row r="2" spans="1:9" ht="43.2" x14ac:dyDescent="0.3">
      <c r="A2" s="216" t="s">
        <v>188</v>
      </c>
      <c r="B2" s="216"/>
      <c r="C2" s="81" t="s">
        <v>202</v>
      </c>
      <c r="D2" s="81" t="s">
        <v>99</v>
      </c>
    </row>
    <row r="3" spans="1:9" ht="78.75" customHeight="1" x14ac:dyDescent="0.3">
      <c r="A3" s="67">
        <v>1</v>
      </c>
      <c r="B3" s="165" t="s">
        <v>171</v>
      </c>
      <c r="C3" s="149" t="s">
        <v>157</v>
      </c>
      <c r="D3" s="225">
        <f>'INDICI-PUNTEGGI'!D30</f>
        <v>8</v>
      </c>
    </row>
    <row r="4" spans="1:9" ht="49.95" customHeight="1" x14ac:dyDescent="0.3">
      <c r="A4" s="67">
        <v>2</v>
      </c>
      <c r="B4" s="165" t="s">
        <v>172</v>
      </c>
      <c r="C4" s="149" t="s">
        <v>157</v>
      </c>
      <c r="D4" s="225"/>
    </row>
    <row r="5" spans="1:9" ht="49.95" customHeight="1" x14ac:dyDescent="0.3">
      <c r="A5" s="67">
        <v>3</v>
      </c>
      <c r="B5" s="165" t="s">
        <v>173</v>
      </c>
      <c r="C5" s="149">
        <v>0.67</v>
      </c>
      <c r="D5" s="225"/>
    </row>
    <row r="6" spans="1:9" ht="85.5" customHeight="1" x14ac:dyDescent="0.3">
      <c r="A6" s="19">
        <v>4</v>
      </c>
      <c r="B6" s="165" t="s">
        <v>174</v>
      </c>
      <c r="C6" s="149">
        <f>H20</f>
        <v>104.66666666666667</v>
      </c>
      <c r="D6" s="225"/>
    </row>
    <row r="7" spans="1:9" ht="49.95" customHeight="1" x14ac:dyDescent="0.3">
      <c r="A7" s="226"/>
      <c r="B7" s="227"/>
      <c r="C7" s="152"/>
      <c r="D7" s="225"/>
    </row>
    <row r="9" spans="1:9" ht="28.8" x14ac:dyDescent="0.3">
      <c r="B9" s="17" t="s">
        <v>204</v>
      </c>
    </row>
    <row r="10" spans="1:9" ht="28.8" x14ac:dyDescent="0.3">
      <c r="B10" s="17" t="s">
        <v>220</v>
      </c>
    </row>
    <row r="11" spans="1:9" ht="86.4" x14ac:dyDescent="0.3">
      <c r="B11" s="17" t="s">
        <v>209</v>
      </c>
    </row>
    <row r="12" spans="1:9" ht="30.6" customHeight="1" x14ac:dyDescent="0.3">
      <c r="B12" s="169" t="s">
        <v>219</v>
      </c>
    </row>
    <row r="14" spans="1:9" x14ac:dyDescent="0.3">
      <c r="B14" s="2" t="s">
        <v>175</v>
      </c>
      <c r="C14" s="2"/>
      <c r="G14" s="7"/>
    </row>
    <row r="15" spans="1:9" x14ac:dyDescent="0.3">
      <c r="B15" s="2" t="s">
        <v>193</v>
      </c>
      <c r="C15" s="2"/>
      <c r="G15" s="7"/>
    </row>
    <row r="16" spans="1:9" x14ac:dyDescent="0.3">
      <c r="A16" s="143" t="s">
        <v>176</v>
      </c>
      <c r="B16" s="143" t="s">
        <v>177</v>
      </c>
      <c r="C16" s="143" t="s">
        <v>178</v>
      </c>
      <c r="D16" s="143" t="s">
        <v>179</v>
      </c>
      <c r="E16" s="143" t="s">
        <v>180</v>
      </c>
      <c r="F16" s="143" t="s">
        <v>181</v>
      </c>
      <c r="G16" s="143" t="s">
        <v>212</v>
      </c>
      <c r="H16" s="143" t="s">
        <v>187</v>
      </c>
      <c r="I16" s="157" t="s">
        <v>194</v>
      </c>
    </row>
    <row r="17" spans="1:9" x14ac:dyDescent="0.3">
      <c r="A17" s="78" t="s">
        <v>182</v>
      </c>
      <c r="B17" s="78" t="s">
        <v>183</v>
      </c>
      <c r="C17" s="78"/>
      <c r="D17" s="150">
        <v>45685</v>
      </c>
      <c r="E17" s="150">
        <v>45687</v>
      </c>
      <c r="F17" s="150">
        <v>45716</v>
      </c>
      <c r="G17" s="150">
        <v>45716</v>
      </c>
      <c r="H17" s="151">
        <f>G17-D17</f>
        <v>31</v>
      </c>
      <c r="I17" s="158" t="s">
        <v>210</v>
      </c>
    </row>
    <row r="18" spans="1:9" x14ac:dyDescent="0.3">
      <c r="A18" s="78" t="s">
        <v>184</v>
      </c>
      <c r="B18" s="78" t="s">
        <v>183</v>
      </c>
      <c r="C18" s="78"/>
      <c r="D18" s="150">
        <v>45693</v>
      </c>
      <c r="E18" s="150"/>
      <c r="F18" s="150"/>
      <c r="G18" s="150">
        <v>45849</v>
      </c>
      <c r="H18" s="151">
        <f t="shared" ref="H18:H19" si="0">G18-D18</f>
        <v>156</v>
      </c>
      <c r="I18" s="158" t="s">
        <v>210</v>
      </c>
    </row>
    <row r="19" spans="1:9" x14ac:dyDescent="0.3">
      <c r="A19" s="78" t="s">
        <v>213</v>
      </c>
      <c r="B19" s="78" t="s">
        <v>185</v>
      </c>
      <c r="C19" s="78" t="s">
        <v>186</v>
      </c>
      <c r="D19" s="150">
        <v>45703</v>
      </c>
      <c r="E19" s="150">
        <v>45797</v>
      </c>
      <c r="F19" s="150"/>
      <c r="G19" s="150">
        <f>E19+33</f>
        <v>45830</v>
      </c>
      <c r="H19" s="151">
        <f t="shared" si="0"/>
        <v>127</v>
      </c>
      <c r="I19" s="158" t="s">
        <v>211</v>
      </c>
    </row>
    <row r="20" spans="1:9" x14ac:dyDescent="0.3">
      <c r="H20" s="63">
        <f>AVERAGE(H17:H19)</f>
        <v>104.66666666666667</v>
      </c>
      <c r="I20">
        <f>2/Gare!D3</f>
        <v>0.66666666666666663</v>
      </c>
    </row>
  </sheetData>
  <sheetProtection algorithmName="SHA-512" hashValue="iuQnOl8fE+ti0FMSqeQTKCgt57J4VNXHRSN3FffpDeifBqjYf6K/nksiPZopoI92FBnRIxpS2+CAMQvsCdmANA==" saltValue="Qrg46jed0LqE3GoQ4gEd1Q==" spinCount="100000" sheet="1" objects="1" scenarios="1" formatCells="0"/>
  <protectedRanges>
    <protectedRange sqref="C3:C6" name="Intervallo1_2"/>
  </protectedRanges>
  <mergeCells count="4">
    <mergeCell ref="A1:D1"/>
    <mergeCell ref="A2:B2"/>
    <mergeCell ref="D3:D7"/>
    <mergeCell ref="A7:B7"/>
  </mergeCells>
  <phoneticPr fontId="3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B8"/>
  <sheetViews>
    <sheetView workbookViewId="0">
      <selection activeCell="B7" sqref="B7"/>
    </sheetView>
  </sheetViews>
  <sheetFormatPr defaultRowHeight="14.4" x14ac:dyDescent="0.3"/>
  <cols>
    <col min="1" max="1" width="136.5546875" customWidth="1"/>
    <col min="2" max="2" width="25.33203125" customWidth="1"/>
  </cols>
  <sheetData>
    <row r="1" spans="1:2" ht="32.1" customHeight="1" x14ac:dyDescent="0.3">
      <c r="A1" s="87" t="s">
        <v>137</v>
      </c>
      <c r="B1" s="87" t="s">
        <v>27</v>
      </c>
    </row>
    <row r="2" spans="1:2" ht="32.1" customHeight="1" x14ac:dyDescent="0.3">
      <c r="A2" s="86" t="s">
        <v>133</v>
      </c>
      <c r="B2" s="90">
        <f>SUM(Gare!G3)</f>
        <v>24.885729519833827</v>
      </c>
    </row>
    <row r="3" spans="1:2" ht="32.1" customHeight="1" x14ac:dyDescent="0.3">
      <c r="A3" s="86" t="s">
        <v>134</v>
      </c>
      <c r="B3" s="90">
        <f>SUM(Competenze!D3)</f>
        <v>8.0858846142304373</v>
      </c>
    </row>
    <row r="4" spans="1:2" ht="32.1" customHeight="1" x14ac:dyDescent="0.3">
      <c r="A4" s="86" t="s">
        <v>135</v>
      </c>
      <c r="B4" s="90">
        <f>SUM(Formazione!D3)</f>
        <v>8.069571101526904</v>
      </c>
    </row>
    <row r="5" spans="1:2" ht="31.95" customHeight="1" x14ac:dyDescent="0.3">
      <c r="A5" s="86" t="s">
        <v>136</v>
      </c>
      <c r="B5" s="90">
        <f>SUM('Obblighi comunicazione ANAC'!D3:D6)</f>
        <v>5</v>
      </c>
    </row>
    <row r="6" spans="1:2" ht="31.2" customHeight="1" x14ac:dyDescent="0.3">
      <c r="A6" s="86" t="s">
        <v>215</v>
      </c>
      <c r="B6" s="90">
        <f>SUM('Gare Delegate'!D4:D8)</f>
        <v>1.25</v>
      </c>
    </row>
    <row r="7" spans="1:2" ht="32.1" customHeight="1" x14ac:dyDescent="0.3">
      <c r="A7" s="86" t="s">
        <v>189</v>
      </c>
      <c r="B7" s="90">
        <f>SUM('Nuovi Criteri Premiali'!D3:D7)</f>
        <v>8</v>
      </c>
    </row>
    <row r="8" spans="1:2" ht="32.1" customHeight="1" x14ac:dyDescent="0.3">
      <c r="A8" s="88" t="s">
        <v>138</v>
      </c>
      <c r="B8" s="89">
        <f>SUM(B2:B7)</f>
        <v>55.291185235591172</v>
      </c>
    </row>
  </sheetData>
  <sheetProtection algorithmName="SHA-512" hashValue="lx9Z+7ZIwwIgVdIF/z+eS/88F7RomTSdw5Onu4tgQ73/mshW9TOKAGvEFY3EWbDjDc8G7vMvUoDp+acpzHxTQw==" saltValue="y/fPpWFdKdT4EvwXIprymw==" spinCount="100000" sheet="1" objects="1" scenarios="1" formatCell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33"/>
  <sheetViews>
    <sheetView zoomScale="90" zoomScaleNormal="90" workbookViewId="0">
      <selection activeCell="D30" sqref="D30:D33"/>
    </sheetView>
  </sheetViews>
  <sheetFormatPr defaultRowHeight="14.4" x14ac:dyDescent="0.3"/>
  <cols>
    <col min="1" max="1" width="178.88671875" customWidth="1"/>
    <col min="2" max="2" width="14.44140625" style="16" customWidth="1"/>
    <col min="3" max="3" width="14.44140625" style="76" customWidth="1"/>
    <col min="4" max="4" width="14.44140625" customWidth="1"/>
    <col min="5" max="5" width="14.44140625" style="16" customWidth="1"/>
  </cols>
  <sheetData>
    <row r="1" spans="1:5" s="91" customFormat="1" ht="41.25" customHeight="1" x14ac:dyDescent="0.3">
      <c r="A1" s="92" t="s">
        <v>31</v>
      </c>
      <c r="B1" s="88" t="s">
        <v>28</v>
      </c>
      <c r="C1" s="93" t="s">
        <v>145</v>
      </c>
      <c r="D1" s="88" t="s">
        <v>144</v>
      </c>
      <c r="E1" s="88" t="s">
        <v>111</v>
      </c>
    </row>
    <row r="2" spans="1:5" ht="14.4" customHeight="1" x14ac:dyDescent="0.3">
      <c r="A2" s="232" t="s">
        <v>58</v>
      </c>
      <c r="B2" s="233"/>
      <c r="C2" s="233"/>
      <c r="D2" s="234"/>
      <c r="E2" s="228">
        <f>SUM(D3+D17+D21+D25+D28+D30)</f>
        <v>55.291185235591172</v>
      </c>
    </row>
    <row r="3" spans="1:5" ht="14.4" customHeight="1" x14ac:dyDescent="0.3">
      <c r="A3" s="18" t="s">
        <v>0</v>
      </c>
      <c r="B3" s="73">
        <f>IF(Competenze!C3&gt;0,Competenze!C4/Competenze!C3,0)</f>
        <v>0.184</v>
      </c>
      <c r="C3" s="75">
        <f>IF(Competenze!C3&gt;0,INDICIb!C3,0)</f>
        <v>0.72875528532940326</v>
      </c>
      <c r="D3" s="231">
        <f>SUM(C3:C15)</f>
        <v>8.0858846142304373</v>
      </c>
      <c r="E3" s="229"/>
    </row>
    <row r="4" spans="1:5" ht="14.4" customHeight="1" x14ac:dyDescent="0.3">
      <c r="A4" s="18" t="s">
        <v>1</v>
      </c>
      <c r="B4" s="23">
        <f>Competenze!C5</f>
        <v>1</v>
      </c>
      <c r="C4" s="75">
        <f>INDICIb!C4</f>
        <v>0.64052198929556914</v>
      </c>
      <c r="D4" s="231"/>
      <c r="E4" s="229"/>
    </row>
    <row r="5" spans="1:5" ht="14.4" customHeight="1" x14ac:dyDescent="0.3">
      <c r="A5" s="18" t="s">
        <v>2</v>
      </c>
      <c r="B5" s="23">
        <f>Competenze!C6</f>
        <v>12</v>
      </c>
      <c r="C5" s="75">
        <f>INDICIb!C5</f>
        <v>1.0699072518608004</v>
      </c>
      <c r="D5" s="231"/>
      <c r="E5" s="229"/>
    </row>
    <row r="6" spans="1:5" ht="14.4" customHeight="1" x14ac:dyDescent="0.3">
      <c r="A6" s="18" t="s">
        <v>3</v>
      </c>
      <c r="B6" s="23">
        <f>Competenze!C7</f>
        <v>10</v>
      </c>
      <c r="C6" s="75">
        <f>INDICIb!C6</f>
        <v>0.87647486244332218</v>
      </c>
      <c r="D6" s="231"/>
      <c r="E6" s="229"/>
    </row>
    <row r="7" spans="1:5" ht="14.4" customHeight="1" x14ac:dyDescent="0.3">
      <c r="A7" s="18" t="s">
        <v>4</v>
      </c>
      <c r="B7" s="73">
        <f>IF(Competenze!C4&gt;0,Competenze!C8/Competenze!C4,0)</f>
        <v>0.34782608695652173</v>
      </c>
      <c r="C7" s="75">
        <f>IF(Competenze!C4&gt;0,INDICIb!C7,0)</f>
        <v>0.22443659984189643</v>
      </c>
      <c r="D7" s="231"/>
      <c r="E7" s="229"/>
    </row>
    <row r="8" spans="1:5" ht="14.4" customHeight="1" x14ac:dyDescent="0.3">
      <c r="A8" s="18" t="s">
        <v>5</v>
      </c>
      <c r="B8" s="73">
        <f>IF(Competenze!C4&gt;0,Competenze!C9/Competenze!C4,0)</f>
        <v>0.13043478260869565</v>
      </c>
      <c r="C8" s="75">
        <f>IF(Competenze!C4&gt;0,INDICIb!C8,0)</f>
        <v>0.41936234569272501</v>
      </c>
      <c r="D8" s="231"/>
      <c r="E8" s="229"/>
    </row>
    <row r="9" spans="1:5" ht="14.4" customHeight="1" x14ac:dyDescent="0.3">
      <c r="A9" s="18" t="s">
        <v>57</v>
      </c>
      <c r="B9" s="73">
        <f>IF(Competenze!C10&gt;0,Competenze!C11/Competenze!C10,0)</f>
        <v>0.5</v>
      </c>
      <c r="C9" s="75">
        <f>IF(Competenze!C10&gt;0,INDICIb!C9,0)</f>
        <v>0.25504285051077219</v>
      </c>
      <c r="D9" s="231"/>
      <c r="E9" s="229"/>
    </row>
    <row r="10" spans="1:5" ht="14.4" customHeight="1" x14ac:dyDescent="0.3">
      <c r="A10" s="18" t="s">
        <v>7</v>
      </c>
      <c r="B10" s="73">
        <f>IF(Competenze!C4&gt;0,Competenze!C12/Competenze!C4,0)</f>
        <v>0.30434782608695654</v>
      </c>
      <c r="C10" s="75">
        <f>IF(Competenze!C4&gt;0,INDICIb!C10,0)</f>
        <v>7.4880384508618808E-2</v>
      </c>
      <c r="D10" s="231"/>
      <c r="E10" s="229"/>
    </row>
    <row r="11" spans="1:5" ht="14.4" customHeight="1" x14ac:dyDescent="0.3">
      <c r="A11" s="18" t="s">
        <v>8</v>
      </c>
      <c r="B11" s="73">
        <f>IF(Competenze!C4&gt;0,Competenze!C13/Competenze!C4,0)</f>
        <v>8.6956521739130432E-2</v>
      </c>
      <c r="C11" s="75">
        <f>IF(Competenze!C4&gt;0,INDICIb!C11,0)</f>
        <v>0.67443002203252322</v>
      </c>
      <c r="D11" s="231"/>
      <c r="E11" s="229"/>
    </row>
    <row r="12" spans="1:5" ht="14.4" customHeight="1" x14ac:dyDescent="0.3">
      <c r="A12" s="18" t="s">
        <v>9</v>
      </c>
      <c r="B12" s="73">
        <f>IF(Competenze!C4&gt;0,Competenze!C14/Competenze!C4,0)</f>
        <v>0.13043478260869565</v>
      </c>
      <c r="C12" s="75">
        <f>IF(Competenze!C4&gt;0,INDICIb!C12,0)</f>
        <v>0.78932236604186912</v>
      </c>
      <c r="D12" s="231"/>
      <c r="E12" s="229"/>
    </row>
    <row r="13" spans="1:5" ht="14.4" customHeight="1" x14ac:dyDescent="0.3">
      <c r="A13" s="18" t="s">
        <v>10</v>
      </c>
      <c r="B13" s="73">
        <f>IF(Competenze!C4&gt;0,Competenze!C15/Competenze!C4,0)</f>
        <v>0.13043478260869565</v>
      </c>
      <c r="C13" s="75">
        <f>IF(Competenze!C4&gt;0,INDICIb!C13,0)</f>
        <v>0.30324244684307367</v>
      </c>
      <c r="D13" s="231"/>
      <c r="E13" s="229"/>
    </row>
    <row r="14" spans="1:5" ht="14.4" customHeight="1" x14ac:dyDescent="0.3">
      <c r="A14" s="18" t="s">
        <v>11</v>
      </c>
      <c r="B14" s="73">
        <f>IF(Competenze!C4&gt;0,Competenze!C16/Competenze!C4,0)</f>
        <v>4.3478260869565216E-2</v>
      </c>
      <c r="C14" s="75">
        <f>IF(Competenze!C4&gt;0,INDICIb!C14,0)</f>
        <v>0.2496768199362196</v>
      </c>
      <c r="D14" s="231"/>
      <c r="E14" s="229"/>
    </row>
    <row r="15" spans="1:5" ht="14.4" customHeight="1" x14ac:dyDescent="0.3">
      <c r="A15" s="18" t="s">
        <v>63</v>
      </c>
      <c r="B15" s="74">
        <f>IF(Competenze!C4&gt;0,B21/Competenze!C4,0)</f>
        <v>27.264127826086956</v>
      </c>
      <c r="C15" s="75">
        <f>IF(Competenze!C4&gt;0,INDICIb!C15,0)</f>
        <v>1.7798313898936442</v>
      </c>
      <c r="D15" s="231"/>
      <c r="E15" s="229"/>
    </row>
    <row r="16" spans="1:5" ht="14.4" customHeight="1" x14ac:dyDescent="0.3">
      <c r="A16" s="232" t="s">
        <v>59</v>
      </c>
      <c r="B16" s="233"/>
      <c r="C16" s="233"/>
      <c r="D16" s="234"/>
      <c r="E16" s="229"/>
    </row>
    <row r="17" spans="1:5" ht="14.4" customHeight="1" x14ac:dyDescent="0.3">
      <c r="A17" s="18" t="s">
        <v>20</v>
      </c>
      <c r="B17" s="73">
        <f>Formazione!C3/Competenze!C4</f>
        <v>0.34782608695652173</v>
      </c>
      <c r="C17" s="75">
        <f>INDICIb!C17</f>
        <v>0.89027512804919562</v>
      </c>
      <c r="D17" s="231">
        <f>SUM(C17:C19)</f>
        <v>8.069571101526904</v>
      </c>
      <c r="E17" s="229"/>
    </row>
    <row r="18" spans="1:5" ht="14.4" customHeight="1" x14ac:dyDescent="0.3">
      <c r="A18" s="18" t="s">
        <v>21</v>
      </c>
      <c r="B18" s="73">
        <f>Formazione!C4/Competenze!C4</f>
        <v>0.21739130434782608</v>
      </c>
      <c r="C18" s="75">
        <f>INDICIb!C18</f>
        <v>2.7248964691113362</v>
      </c>
      <c r="D18" s="231"/>
      <c r="E18" s="229"/>
    </row>
    <row r="19" spans="1:5" ht="14.4" customHeight="1" x14ac:dyDescent="0.3">
      <c r="A19" s="18" t="s">
        <v>22</v>
      </c>
      <c r="B19" s="73">
        <f>Formazione!C5/Competenze!C4</f>
        <v>8.6956521739130432E-2</v>
      </c>
      <c r="C19" s="75">
        <f>INDICIb!C19</f>
        <v>4.4543995043663731</v>
      </c>
      <c r="D19" s="231"/>
      <c r="E19" s="229"/>
    </row>
    <row r="20" spans="1:5" ht="14.4" customHeight="1" x14ac:dyDescent="0.3">
      <c r="A20" s="232" t="s">
        <v>139</v>
      </c>
      <c r="B20" s="233"/>
      <c r="C20" s="233"/>
      <c r="D20" s="234"/>
      <c r="E20" s="229"/>
    </row>
    <row r="21" spans="1:5" ht="14.4" customHeight="1" x14ac:dyDescent="0.3">
      <c r="A21" s="18" t="s">
        <v>13</v>
      </c>
      <c r="B21" s="74">
        <f>PESAGARE!E31</f>
        <v>627.07493999999997</v>
      </c>
      <c r="C21" s="75">
        <f>INDICIb!C21</f>
        <v>22.157594095350568</v>
      </c>
      <c r="D21" s="231">
        <f>SUM(C21:C23)</f>
        <v>24.885729519833827</v>
      </c>
      <c r="E21" s="229"/>
    </row>
    <row r="22" spans="1:5" ht="14.4" customHeight="1" x14ac:dyDescent="0.3">
      <c r="A22" s="18" t="s">
        <v>14</v>
      </c>
      <c r="B22" s="73">
        <f>IF(Gare!D3&gt;0,SUM(Gare!D21),0)</f>
        <v>0.45</v>
      </c>
      <c r="C22" s="75">
        <f>IF(Gare!D3&gt;0,INDICIb!C22,0)</f>
        <v>0.72813542448326019</v>
      </c>
      <c r="D22" s="231"/>
      <c r="E22" s="229"/>
    </row>
    <row r="23" spans="1:5" ht="14.4" customHeight="1" x14ac:dyDescent="0.3">
      <c r="A23" s="18" t="s">
        <v>64</v>
      </c>
      <c r="B23" s="73">
        <f>IF(Gare!D3&gt;0,Gare!D5/Gare!D3,0)</f>
        <v>0</v>
      </c>
      <c r="C23" s="75">
        <f>IF(Gare!D3&gt;0,INDICIb!C23,0)</f>
        <v>2</v>
      </c>
      <c r="D23" s="231"/>
      <c r="E23" s="229"/>
    </row>
    <row r="24" spans="1:5" ht="14.4" customHeight="1" x14ac:dyDescent="0.3">
      <c r="A24" s="232" t="s">
        <v>143</v>
      </c>
      <c r="B24" s="233"/>
      <c r="C24" s="233"/>
      <c r="D24" s="234"/>
      <c r="E24" s="229"/>
    </row>
    <row r="25" spans="1:5" ht="14.4" customHeight="1" x14ac:dyDescent="0.3">
      <c r="A25" s="18" t="s">
        <v>62</v>
      </c>
      <c r="B25" s="73">
        <f>IF(Gare!D3&gt;0,'Obblighi comunicazione ANAC'!C4/'Obblighi comunicazione ANAC'!C3,0)</f>
        <v>1</v>
      </c>
      <c r="C25" s="75">
        <f>IF(Gare!D3&gt;0,INDICIb!C25,0)</f>
        <v>2.5</v>
      </c>
      <c r="D25" s="231">
        <f>SUM(C25:C26)</f>
        <v>5</v>
      </c>
      <c r="E25" s="229"/>
    </row>
    <row r="26" spans="1:5" ht="14.4" customHeight="1" x14ac:dyDescent="0.3">
      <c r="A26" s="18" t="s">
        <v>61</v>
      </c>
      <c r="B26" s="73">
        <f>IF(Gare!D3&gt;0,'Obblighi comunicazione ANAC'!C6/('Obblighi comunicazione ANAC'!C3-'Obblighi comunicazione ANAC'!C5),0)</f>
        <v>1</v>
      </c>
      <c r="C26" s="75">
        <f>IF(Gare!D3&gt;0,INDICIb!C26,0)</f>
        <v>2.5</v>
      </c>
      <c r="D26" s="231"/>
      <c r="E26" s="229"/>
    </row>
    <row r="27" spans="1:5" ht="14.4" customHeight="1" x14ac:dyDescent="0.3">
      <c r="A27" s="232" t="s">
        <v>190</v>
      </c>
      <c r="B27" s="233"/>
      <c r="C27" s="233"/>
      <c r="D27" s="234"/>
      <c r="E27" s="229"/>
    </row>
    <row r="28" spans="1:5" ht="29.25" customHeight="1" x14ac:dyDescent="0.3">
      <c r="A28" s="141" t="s">
        <v>217</v>
      </c>
      <c r="B28" s="73">
        <f>SUM('Gare Delegate'!C4:C8)</f>
        <v>1</v>
      </c>
      <c r="C28" s="75">
        <f>INDICIb!C28</f>
        <v>1.25</v>
      </c>
      <c r="D28" s="146">
        <f>SUM(C28:C28)</f>
        <v>1.25</v>
      </c>
      <c r="E28" s="229"/>
    </row>
    <row r="29" spans="1:5" ht="14.4" customHeight="1" x14ac:dyDescent="0.3">
      <c r="A29" s="232" t="s">
        <v>191</v>
      </c>
      <c r="B29" s="233"/>
      <c r="C29" s="233"/>
      <c r="D29" s="234"/>
      <c r="E29" s="229"/>
    </row>
    <row r="30" spans="1:5" ht="28.8" x14ac:dyDescent="0.3">
      <c r="A30" s="153" t="s">
        <v>171</v>
      </c>
      <c r="B30" s="154" t="str">
        <f>'Nuovi Criteri Premiali'!C3</f>
        <v>SI</v>
      </c>
      <c r="C30" s="75">
        <f>INDICIb!C30</f>
        <v>1</v>
      </c>
      <c r="D30" s="235">
        <f>SUM(C30:C33)</f>
        <v>8</v>
      </c>
      <c r="E30" s="229"/>
    </row>
    <row r="31" spans="1:5" x14ac:dyDescent="0.3">
      <c r="A31" s="155" t="s">
        <v>172</v>
      </c>
      <c r="B31" s="154" t="str">
        <f>'Nuovi Criteri Premiali'!C4</f>
        <v>SI</v>
      </c>
      <c r="C31" s="75">
        <f>INDICIb!C31</f>
        <v>1</v>
      </c>
      <c r="D31" s="236"/>
      <c r="E31" s="229"/>
    </row>
    <row r="32" spans="1:5" x14ac:dyDescent="0.3">
      <c r="A32" s="155" t="s">
        <v>173</v>
      </c>
      <c r="B32" s="154">
        <f>'Nuovi Criteri Premiali'!C5</f>
        <v>0.67</v>
      </c>
      <c r="C32" s="75">
        <f>INDICIb!C32</f>
        <v>1</v>
      </c>
      <c r="D32" s="236"/>
      <c r="E32" s="229"/>
    </row>
    <row r="33" spans="1:5" ht="28.8" x14ac:dyDescent="0.3">
      <c r="A33" s="156" t="s">
        <v>174</v>
      </c>
      <c r="B33" s="154">
        <f>'Nuovi Criteri Premiali'!C6</f>
        <v>104.66666666666667</v>
      </c>
      <c r="C33" s="75">
        <f>INDICIb!C33</f>
        <v>5</v>
      </c>
      <c r="D33" s="237"/>
      <c r="E33" s="230"/>
    </row>
  </sheetData>
  <sheetProtection sheet="1" formatCells="0"/>
  <mergeCells count="12">
    <mergeCell ref="E2:E33"/>
    <mergeCell ref="D17:D19"/>
    <mergeCell ref="D3:D15"/>
    <mergeCell ref="D21:D23"/>
    <mergeCell ref="D25:D26"/>
    <mergeCell ref="A2:D2"/>
    <mergeCell ref="A20:D20"/>
    <mergeCell ref="A24:D24"/>
    <mergeCell ref="A27:D27"/>
    <mergeCell ref="A16:D16"/>
    <mergeCell ref="A29:D29"/>
    <mergeCell ref="D30:D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H19"/>
  <sheetViews>
    <sheetView zoomScale="80" zoomScaleNormal="80" workbookViewId="0">
      <selection activeCell="I1" sqref="I1:I1048576"/>
    </sheetView>
  </sheetViews>
  <sheetFormatPr defaultColWidth="15" defaultRowHeight="24" customHeight="1" x14ac:dyDescent="0.3"/>
  <cols>
    <col min="1" max="1" width="15" style="11"/>
    <col min="2" max="3" width="15" style="2"/>
    <col min="7" max="7" width="67.6640625" customWidth="1"/>
    <col min="8" max="8" width="17" bestFit="1" customWidth="1"/>
  </cols>
  <sheetData>
    <row r="1" spans="1:8" ht="24" customHeight="1" x14ac:dyDescent="0.3">
      <c r="A1" s="238" t="s">
        <v>55</v>
      </c>
      <c r="B1" s="239"/>
      <c r="C1" s="240"/>
      <c r="D1" s="240"/>
      <c r="E1" s="240"/>
      <c r="F1" s="240"/>
      <c r="G1" s="240"/>
      <c r="H1" s="14" t="s">
        <v>54</v>
      </c>
    </row>
    <row r="2" spans="1:8" ht="24" customHeight="1" x14ac:dyDescent="0.3">
      <c r="A2" s="19">
        <v>1</v>
      </c>
      <c r="B2" s="241" t="s">
        <v>60</v>
      </c>
      <c r="C2" s="242"/>
      <c r="D2" s="242"/>
      <c r="E2" s="242"/>
      <c r="F2" s="242"/>
      <c r="G2" s="242"/>
      <c r="H2" s="9">
        <f>SUM(Gare!D3:F3)</f>
        <v>3</v>
      </c>
    </row>
    <row r="3" spans="1:8" ht="24" customHeight="1" x14ac:dyDescent="0.3">
      <c r="A3" s="19">
        <v>2</v>
      </c>
      <c r="B3" s="241" t="s">
        <v>50</v>
      </c>
      <c r="C3" s="242"/>
      <c r="D3" s="242"/>
      <c r="E3" s="242"/>
      <c r="F3" s="242"/>
      <c r="G3" s="242"/>
      <c r="H3" s="9">
        <f>SUM(Gare!D5:F5)</f>
        <v>0</v>
      </c>
    </row>
    <row r="4" spans="1:8" ht="51" customHeight="1" x14ac:dyDescent="0.3">
      <c r="A4" s="19">
        <v>3</v>
      </c>
      <c r="B4" s="241" t="s">
        <v>49</v>
      </c>
      <c r="C4" s="242"/>
      <c r="D4" s="242"/>
      <c r="E4" s="242"/>
      <c r="F4" s="242"/>
      <c r="G4" s="242"/>
    </row>
    <row r="5" spans="1:8" ht="24.75" customHeight="1" x14ac:dyDescent="0.3">
      <c r="B5" s="20"/>
      <c r="C5" s="21"/>
      <c r="D5" s="22"/>
      <c r="E5" s="22"/>
      <c r="F5" s="22"/>
      <c r="G5" s="13"/>
    </row>
    <row r="6" spans="1:8" ht="24" customHeight="1" x14ac:dyDescent="0.3">
      <c r="B6" s="243" t="s">
        <v>47</v>
      </c>
      <c r="C6" s="243" t="s">
        <v>48</v>
      </c>
      <c r="D6" s="246" t="s">
        <v>45</v>
      </c>
      <c r="E6" s="246"/>
      <c r="F6" s="246"/>
    </row>
    <row r="7" spans="1:8" ht="24" customHeight="1" x14ac:dyDescent="0.3">
      <c r="B7" s="244"/>
      <c r="C7" s="244"/>
      <c r="D7" s="247" t="s">
        <v>46</v>
      </c>
      <c r="E7" s="248"/>
      <c r="F7" s="249"/>
    </row>
    <row r="8" spans="1:8" ht="57.6" x14ac:dyDescent="0.3">
      <c r="B8" s="245"/>
      <c r="C8" s="245" t="s">
        <v>48</v>
      </c>
      <c r="D8" s="12" t="s">
        <v>51</v>
      </c>
      <c r="E8" s="12" t="s">
        <v>52</v>
      </c>
      <c r="F8" s="12" t="s">
        <v>53</v>
      </c>
    </row>
    <row r="9" spans="1:8" ht="24" customHeight="1" x14ac:dyDescent="0.3">
      <c r="B9" s="15" t="s">
        <v>39</v>
      </c>
      <c r="C9" s="15" t="s">
        <v>40</v>
      </c>
      <c r="D9" s="10">
        <f>SUM(Gare!D11)</f>
        <v>3</v>
      </c>
      <c r="E9" s="10">
        <f>SUM(Gare!E11)</f>
        <v>0</v>
      </c>
      <c r="F9" s="10">
        <f>SUM(Gare!F11)</f>
        <v>0</v>
      </c>
    </row>
    <row r="10" spans="1:8" ht="24" customHeight="1" x14ac:dyDescent="0.3">
      <c r="B10" s="15" t="s">
        <v>39</v>
      </c>
      <c r="C10" s="15" t="s">
        <v>41</v>
      </c>
      <c r="D10" s="10">
        <f>SUM(Gare!D12)</f>
        <v>0</v>
      </c>
      <c r="E10" s="10">
        <f>SUM(Gare!E12)</f>
        <v>0</v>
      </c>
      <c r="F10" s="10">
        <f>SUM(Gare!F12)</f>
        <v>0</v>
      </c>
    </row>
    <row r="11" spans="1:8" ht="24" customHeight="1" x14ac:dyDescent="0.3">
      <c r="B11" s="15" t="s">
        <v>42</v>
      </c>
      <c r="C11" s="15" t="s">
        <v>40</v>
      </c>
      <c r="D11" s="10">
        <f>SUM(Gare!D13)</f>
        <v>0</v>
      </c>
      <c r="E11" s="10">
        <f>SUM(Gare!E13)</f>
        <v>0</v>
      </c>
      <c r="F11" s="10">
        <f>SUM(Gare!F13)</f>
        <v>0</v>
      </c>
    </row>
    <row r="12" spans="1:8" ht="24" customHeight="1" x14ac:dyDescent="0.3">
      <c r="B12" s="15" t="s">
        <v>42</v>
      </c>
      <c r="C12" s="15" t="s">
        <v>41</v>
      </c>
      <c r="D12" s="10">
        <f>SUM(Gare!D14)</f>
        <v>0</v>
      </c>
      <c r="E12" s="10">
        <f>SUM(Gare!E14)</f>
        <v>0</v>
      </c>
      <c r="F12" s="10">
        <f>SUM(Gare!F14)</f>
        <v>0</v>
      </c>
    </row>
    <row r="13" spans="1:8" ht="24" customHeight="1" x14ac:dyDescent="0.3">
      <c r="B13" s="15" t="s">
        <v>43</v>
      </c>
      <c r="C13" s="15" t="s">
        <v>40</v>
      </c>
      <c r="D13" s="10">
        <f>SUM(Gare!D15)</f>
        <v>0</v>
      </c>
      <c r="E13" s="10">
        <f>SUM(Gare!E15)</f>
        <v>0</v>
      </c>
      <c r="F13" s="10">
        <f>SUM(Gare!F15)</f>
        <v>0</v>
      </c>
    </row>
    <row r="14" spans="1:8" ht="24" customHeight="1" x14ac:dyDescent="0.3">
      <c r="B14" s="15" t="s">
        <v>43</v>
      </c>
      <c r="C14" s="15" t="s">
        <v>41</v>
      </c>
      <c r="D14" s="10">
        <f>SUM(Gare!D16)</f>
        <v>0</v>
      </c>
      <c r="E14" s="10">
        <f>SUM(Gare!E16)</f>
        <v>0</v>
      </c>
      <c r="F14" s="10">
        <f>SUM(Gare!F16)</f>
        <v>0</v>
      </c>
    </row>
    <row r="15" spans="1:8" ht="24" customHeight="1" x14ac:dyDescent="0.3">
      <c r="B15" s="15" t="s">
        <v>44</v>
      </c>
      <c r="C15" s="15" t="s">
        <v>40</v>
      </c>
      <c r="D15" s="10">
        <f>SUM(Gare!D17)</f>
        <v>0</v>
      </c>
      <c r="E15" s="10">
        <f>SUM(Gare!E17)</f>
        <v>0</v>
      </c>
      <c r="F15" s="10">
        <f>SUM(Gare!F17)</f>
        <v>0</v>
      </c>
    </row>
    <row r="16" spans="1:8" ht="24" customHeight="1" x14ac:dyDescent="0.3">
      <c r="B16" s="15" t="s">
        <v>44</v>
      </c>
      <c r="C16" s="15" t="s">
        <v>41</v>
      </c>
      <c r="D16" s="10">
        <f>SUM(Gare!D18)</f>
        <v>0</v>
      </c>
      <c r="E16" s="10">
        <f>SUM(Gare!E18)</f>
        <v>0</v>
      </c>
      <c r="F16" s="10">
        <f>SUM(Gare!F18)</f>
        <v>0</v>
      </c>
    </row>
    <row r="17" spans="1:8" ht="24" customHeight="1" x14ac:dyDescent="0.3">
      <c r="B17" s="3"/>
    </row>
    <row r="18" spans="1:8" ht="24" customHeight="1" x14ac:dyDescent="0.3">
      <c r="A18" s="19">
        <v>4</v>
      </c>
      <c r="B18" s="241" t="s">
        <v>29</v>
      </c>
      <c r="C18" s="242"/>
      <c r="D18" s="242"/>
      <c r="E18" s="242"/>
      <c r="F18" s="242"/>
      <c r="G18" s="242"/>
      <c r="H18" s="72">
        <f>SUM(Gare!D21:F21)</f>
        <v>0.45</v>
      </c>
    </row>
    <row r="19" spans="1:8" ht="24" customHeight="1" x14ac:dyDescent="0.3">
      <c r="B19" s="3"/>
    </row>
  </sheetData>
  <sheetProtection selectLockedCells="1" selectUnlockedCells="1"/>
  <mergeCells count="9">
    <mergeCell ref="A1:G1"/>
    <mergeCell ref="B18:G18"/>
    <mergeCell ref="B2:G2"/>
    <mergeCell ref="B3:G3"/>
    <mergeCell ref="B4:G4"/>
    <mergeCell ref="B6:B8"/>
    <mergeCell ref="C6:C8"/>
    <mergeCell ref="D6:F6"/>
    <mergeCell ref="D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Gare</vt:lpstr>
      <vt:lpstr>Competenze</vt:lpstr>
      <vt:lpstr>Formazione</vt:lpstr>
      <vt:lpstr>Obblighi comunicazione ANAC</vt:lpstr>
      <vt:lpstr>Gare Delegate</vt:lpstr>
      <vt:lpstr>Nuovi Criteri Premiali</vt:lpstr>
      <vt:lpstr>Punteggio Complessivo</vt:lpstr>
      <vt:lpstr>INDICI-PUNTEGGI</vt:lpstr>
      <vt:lpstr>Esperienza gare</vt:lpstr>
      <vt:lpstr>PESAGARE</vt:lpstr>
      <vt:lpstr>INDICIb</vt:lpstr>
      <vt:lpstr>CALCOLO_SF</vt:lpstr>
      <vt:lpstr>coefficienti_SF</vt:lpstr>
      <vt:lpstr>Riassunto Punteggio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Davide</dc:creator>
  <cp:lastModifiedBy>De Leverano Adriano</cp:lastModifiedBy>
  <dcterms:created xsi:type="dcterms:W3CDTF">2022-09-23T14:00:05Z</dcterms:created>
  <dcterms:modified xsi:type="dcterms:W3CDTF">2025-09-22T14:36:05Z</dcterms:modified>
</cp:coreProperties>
</file>